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1"/>
  <workbookPr defaultThemeVersion="124226"/>
  <mc:AlternateContent xmlns:mc="http://schemas.openxmlformats.org/markup-compatibility/2006">
    <mc:Choice Requires="x15">
      <x15ac:absPath xmlns:x15ac="http://schemas.microsoft.com/office/spreadsheetml/2010/11/ac" url="/Volumes/law$/FRANET 2019-2022/Specific contracts and deliverables/2019/Novel Approaches to Generating Data/Deliverable/Report 2/"/>
    </mc:Choice>
  </mc:AlternateContent>
  <xr:revisionPtr revIDLastSave="0" documentId="13_ncr:1_{3A3D7177-65DF-6F41-BC41-2FAB618901E0}" xr6:coauthVersionLast="36" xr6:coauthVersionMax="36" xr10:uidLastSave="{00000000-0000-0000-0000-000000000000}"/>
  <bookViews>
    <workbookView xWindow="0" yWindow="660" windowWidth="33140" windowHeight="11620" firstSheet="5" activeTab="8" xr2:uid="{00000000-000D-0000-FFFF-FFFF00000000}"/>
  </bookViews>
  <sheets>
    <sheet name="Roma" sheetId="1" r:id="rId1"/>
    <sheet name="Children at risk" sheetId="13" r:id="rId2"/>
    <sheet name="People with disabiliies" sheetId="14" r:id="rId3"/>
    <sheet name="Very young" sheetId="17" r:id="rId4"/>
    <sheet name="Older persons" sheetId="18" r:id="rId5"/>
    <sheet name="People in precarious housing" sheetId="19" r:id="rId6"/>
    <sheet name="TCNs" sheetId="7" r:id="rId7"/>
    <sheet name="Emigrant household members" sheetId="20" r:id="rId8"/>
    <sheet name="Victims of domestic violence" sheetId="9" r:id="rId9"/>
    <sheet name="LGBTQ+" sheetId="10" r:id="rId10"/>
    <sheet name="Energy-poor persons" sheetId="15" r:id="rId11"/>
    <sheet name="Undeclared workers" sheetId="16" r:id="rId12"/>
  </sheets>
  <calcPr calcId="181029"/>
</workbook>
</file>

<file path=xl/calcChain.xml><?xml version="1.0" encoding="utf-8"?>
<calcChain xmlns="http://schemas.openxmlformats.org/spreadsheetml/2006/main">
  <c r="K4" i="16" l="1"/>
  <c r="K3" i="20" l="1"/>
  <c r="K4" i="20"/>
  <c r="K5" i="20"/>
  <c r="K6" i="20"/>
  <c r="K8" i="20"/>
  <c r="K10" i="20"/>
  <c r="K3" i="19"/>
  <c r="K4" i="19"/>
  <c r="K5" i="19"/>
  <c r="K6" i="19"/>
  <c r="K7" i="19"/>
  <c r="K8" i="19"/>
  <c r="K9" i="19"/>
  <c r="M9" i="19"/>
  <c r="K10" i="19"/>
  <c r="K11" i="19"/>
  <c r="K3" i="18"/>
  <c r="K4" i="18"/>
  <c r="M4" i="18"/>
  <c r="K5" i="18"/>
  <c r="K6" i="18"/>
  <c r="M6" i="18"/>
  <c r="K7" i="18"/>
  <c r="K8" i="18"/>
  <c r="K3" i="17"/>
  <c r="K4" i="17"/>
  <c r="M4" i="17"/>
  <c r="K5" i="17"/>
  <c r="K8" i="17"/>
  <c r="K9" i="17"/>
  <c r="M9" i="17"/>
  <c r="K10" i="17"/>
  <c r="M10" i="17"/>
  <c r="K11" i="17"/>
  <c r="K5" i="16" l="1"/>
  <c r="K6" i="16"/>
  <c r="K7" i="16"/>
  <c r="K8" i="16"/>
  <c r="K9" i="16"/>
  <c r="K10" i="16"/>
  <c r="M10" i="16"/>
  <c r="K11" i="16"/>
  <c r="K12" i="16"/>
  <c r="K13" i="16"/>
  <c r="K4" i="15"/>
  <c r="K5" i="15"/>
  <c r="K6" i="15"/>
  <c r="K7" i="15"/>
  <c r="K8" i="15"/>
  <c r="K9" i="15"/>
  <c r="K10" i="15"/>
  <c r="K11" i="15"/>
  <c r="K12" i="15"/>
  <c r="K13" i="15"/>
  <c r="K15" i="14"/>
  <c r="K3" i="14" l="1"/>
  <c r="K4" i="14"/>
  <c r="K5" i="14"/>
  <c r="M5" i="14"/>
  <c r="K6" i="14"/>
  <c r="M6" i="14"/>
  <c r="K7" i="14"/>
  <c r="K8" i="14"/>
  <c r="K9" i="14"/>
  <c r="K10" i="14"/>
  <c r="K11" i="14"/>
  <c r="K12" i="14"/>
  <c r="K6" i="13"/>
  <c r="K4" i="13"/>
  <c r="K5" i="13"/>
  <c r="K7" i="13"/>
  <c r="K8" i="13"/>
  <c r="K9" i="13"/>
  <c r="K10" i="13"/>
  <c r="K11" i="13"/>
  <c r="K3" i="13"/>
  <c r="K13" i="13"/>
  <c r="K14" i="13"/>
  <c r="K15" i="13"/>
  <c r="K17" i="7" l="1"/>
  <c r="K16" i="7"/>
  <c r="M15" i="7"/>
  <c r="K15" i="7"/>
  <c r="K14" i="7"/>
  <c r="K13" i="7"/>
  <c r="K12" i="7"/>
  <c r="M11" i="7"/>
  <c r="K11" i="7"/>
  <c r="K10" i="7"/>
  <c r="K9" i="7"/>
  <c r="K8" i="7"/>
  <c r="M6" i="7"/>
  <c r="K6" i="7"/>
  <c r="K5" i="7"/>
  <c r="K4" i="7"/>
  <c r="K3" i="7"/>
  <c r="K12" i="9" l="1"/>
  <c r="M11" i="9"/>
  <c r="K11" i="9"/>
  <c r="K10" i="9"/>
  <c r="K9" i="9"/>
  <c r="M8" i="9"/>
  <c r="K8" i="9"/>
  <c r="M7" i="9"/>
  <c r="K7" i="9"/>
  <c r="M6" i="9"/>
  <c r="K6" i="9"/>
  <c r="M5" i="9"/>
  <c r="K5" i="9"/>
  <c r="M4" i="9"/>
  <c r="K4" i="9"/>
  <c r="M3" i="9"/>
  <c r="K3" i="9"/>
  <c r="K12" i="10"/>
  <c r="M11" i="10"/>
  <c r="K11" i="10"/>
  <c r="K10" i="10"/>
  <c r="K9" i="10"/>
  <c r="K8" i="10"/>
  <c r="K7" i="10"/>
  <c r="K6" i="10"/>
  <c r="K5" i="10"/>
  <c r="K4" i="10"/>
  <c r="M3" i="10"/>
  <c r="K3" i="10"/>
</calcChain>
</file>

<file path=xl/sharedStrings.xml><?xml version="1.0" encoding="utf-8"?>
<sst xmlns="http://schemas.openxmlformats.org/spreadsheetml/2006/main" count="1964" uniqueCount="1128">
  <si>
    <t>Data Collection Effort</t>
  </si>
  <si>
    <t>Instrument</t>
  </si>
  <si>
    <t xml:space="preserve">Indicators </t>
  </si>
  <si>
    <t>Disaggregation criteria</t>
  </si>
  <si>
    <t>Scope</t>
  </si>
  <si>
    <t>Accessibility</t>
  </si>
  <si>
    <t>Survey</t>
  </si>
  <si>
    <t xml:space="preserve">Coefficient of marginalised Roma unemployed, enrolled in school, having access to health services, having access to electricity, waste collection and pipe water, possessing civil registration documents... </t>
  </si>
  <si>
    <t>UNDP</t>
  </si>
  <si>
    <t>UNDP with support from the European Commission Directorate General for Neighbourhood and Enlargement Negotiations (DG NEAR), in cooperation with the World Bank, and in consultation with the EU’s Fundamental Rights Agency and other UN Agencies.</t>
  </si>
  <si>
    <t xml:space="preserve">Roma/non-Roma, gender </t>
  </si>
  <si>
    <t>around 750 Roma and 350 non-Roma for each country</t>
  </si>
  <si>
    <t>Public</t>
  </si>
  <si>
    <t xml:space="preserve">The survey shows varied picture in terms of progress achieved and in terms of reducing the gaps between Roma and non-Roma population. </t>
  </si>
  <si>
    <t>Selected survey results of the Regional Roma Survey 2017 through the gender lens</t>
  </si>
  <si>
    <t>Rates of employment, possession of ID card, food security, use of preventive health services, youth in employment, education and training, access to toilet dwelling, early marriage...</t>
  </si>
  <si>
    <t>It focuses on the results of the previous survey regarding Roma women and shows how they have some added risks for the fact of being females in Roma communities.</t>
  </si>
  <si>
    <t>European Union minorities and discrimination survey 2008: EU-MIDIS</t>
  </si>
  <si>
    <t>Experiences of discrimination in different moments of daily life, and specifically in victimisation and related to police experiences.</t>
  </si>
  <si>
    <t>Nationality</t>
  </si>
  <si>
    <t>around 500 people from each country and minority group. 23565 people.</t>
  </si>
  <si>
    <t>The results of the survey reveal evidence about the discrimination faced by minorities in everyday life in all 27 EU MS in 2008.</t>
  </si>
  <si>
    <t>EU-MIDIS Data in Focus Report 1: The Roma</t>
  </si>
  <si>
    <t>Face-to-face interviews</t>
  </si>
  <si>
    <t>EU Agency for Fundamental Rights (FRA)</t>
  </si>
  <si>
    <t>Of all the groups surveyed by the FRA in 2008, the Roma emerged as the group most vulnerable to discrimination and crime. The FRA  therefore analysed their situation in a ‘data in focus' report</t>
  </si>
  <si>
    <t>EU-MIDIS II: Second European Union Minorities and Discrimination Survey</t>
  </si>
  <si>
    <t>7947 Roma respondents in households with 33784 individuals</t>
  </si>
  <si>
    <t>The results of the survey reveal evidence about the discrimination faced by minorities in everyday life in the 28 EU MS.</t>
  </si>
  <si>
    <t>education; early marriage and health; employment; discrimination, harassment and violence.</t>
  </si>
  <si>
    <t>Gender, age, nationality</t>
  </si>
  <si>
    <t xml:space="preserve">This report examines data from FRA’s EUMIDIS II in nine EU-Member States to compare the situation of Roma women to that of Roma men and to that of women in the general population. It shows that while all women
are affected by inequalities, many of those
belonging to minority groups, such as Roma, face
additional challenges. </t>
  </si>
  <si>
    <t>Roma and travellers survey 2018-2019</t>
  </si>
  <si>
    <t>Face-to-face interviews, computerised questionnaires</t>
  </si>
  <si>
    <t>labour market participation and level of education, as well as housing and living standards, including access to public utilities and basic housing amenities.</t>
  </si>
  <si>
    <t>/</t>
  </si>
  <si>
    <t>Ongoing</t>
  </si>
  <si>
    <t>Although Roma and Travellers are the largest ethnic minority in the European Union, there is a lack of official statistical data on core socio-demographic indicators, since EU level data are not disaggregated by ethnic origin. The survey will cover this gap and raise awareness on the respect of fundamental rights of Roma people.</t>
  </si>
  <si>
    <t>Roma Health Report: Health status of the Roma population. Data collection in the Member States of the European Union</t>
  </si>
  <si>
    <t>1. Mortality and life expectancy; 2. Prevalence of major infectious diseases; 3. Healthy lifestyles and related behaviours; 4. Access and use of health services and prevention programmes; 5. Prevalence of major chronic diseases; 6. Health factors related to the role of women in the Roma community; 7. Environmental and other socio-economic factors.</t>
  </si>
  <si>
    <t>European Commission</t>
  </si>
  <si>
    <t>Roma/non-Roma, gender, age, nationality, residency status, area of the country (towns/cities/regions)</t>
  </si>
  <si>
    <t>31 countries (28 MS+ Iceland, Liechtenstein and Norway), focused on 11 of them: Bulgaria, Croatia, the Czech Republic, France, Greece, Italy, Hungary, Romania, Slovakia,
Spain, and the United Kingdom.</t>
  </si>
  <si>
    <t>The report attempts to identify major past and expected future trends and developments in the health status of the Roma population.</t>
  </si>
  <si>
    <t>Gender perspectives of Roma health and their access to health care. Macedonia</t>
  </si>
  <si>
    <t>Health status, primary health care, secondary health care, tertiary health care, patients' rights, access to medicines, discrimination</t>
  </si>
  <si>
    <t>Foundation Open Society - Macedonia</t>
  </si>
  <si>
    <t>Gender</t>
  </si>
  <si>
    <t>393 Roma women, 298 Roma men.</t>
  </si>
  <si>
    <t>Hidden Health Crisis: Health Inequalities and Disaggregated Data. Romania</t>
  </si>
  <si>
    <t>Health conditions, access to primary medical services and access to preventative measures</t>
  </si>
  <si>
    <t>European Roma Rights Centre</t>
  </si>
  <si>
    <t>Age, ethnicity, gender</t>
  </si>
  <si>
    <t>1119 Roma households and 800 non-Roma households, in Romania’s eight development regions</t>
  </si>
  <si>
    <t>This collection of data was made to show there is a clear need for disaggregated data in order to demonstrate the scope of discrimination Roma face in Europe and to develop and implement targeted policy measures to address this situation.</t>
  </si>
  <si>
    <t>Violence Against Roma - Excerpt from Human Rights First's 2008 Hate Crime Survey</t>
  </si>
  <si>
    <t>Violent incidents</t>
  </si>
  <si>
    <t>Human Rights First</t>
  </si>
  <si>
    <t>Official monitoring of hate crimes in most countries in
Europe is limited, and this report aims to document violence and other forms of intolerance against Roma in eleven countries during 2007 and 2008 to raise awareness of the continuous violation of the rights of Roma communities across Europe.</t>
  </si>
  <si>
    <t>Roma Early Childhood Inclusion The RECI Overview Report</t>
  </si>
  <si>
    <t>Literature reviews and semi-structured interviews with key informants, such as central and local government policy makers, Roma experts and NGOs, early childhood centres and educators, and various focus groups.</t>
  </si>
  <si>
    <t>Access to housing, employment, nutrition, health, development and education.</t>
  </si>
  <si>
    <t>Open Society Foundations, Roma Education Fund, UNICEF</t>
  </si>
  <si>
    <t>- (It is an interpretative summary of four National Reports carried by national early childhood specialists)</t>
  </si>
  <si>
    <t>The major purpose of the RECI Project is to gather reliable data and information about the inclusion of young Roma children in the early childhood services of four Central and South-Eastern European (CSEE) countries: the Czech Republic, the former Yugoslav Republic of Macedonia, Romania and Serbia.</t>
  </si>
  <si>
    <t>GRETA Report concerning the implementation of the Council of Europe Convention on Action against Trafficking in Human Beings by Bulgaria - First Evaluation Round</t>
  </si>
  <si>
    <t>official data on identified victims</t>
  </si>
  <si>
    <t>Council of Europe</t>
  </si>
  <si>
    <t>sex, age, type of
exploitation, country of origin and/or destination</t>
  </si>
  <si>
    <t>Monitoring the implementation of the Convention on Action against Trafficking in Human
Beings by the parties and drawing up a report evaluating the measures taken by Bulgaria</t>
  </si>
  <si>
    <t>GRETA report concerning the implementation of the Council of Europe Convention on Action against Trafficking in Human Beings by Bulgaria - Second Evaluation Round</t>
  </si>
  <si>
    <t>GRETA General report on trafficking in children</t>
  </si>
  <si>
    <t>data provided by the national authorities</t>
  </si>
  <si>
    <t>age, ethnicity</t>
  </si>
  <si>
    <t>4361 children were identified as victims of human trafficking in 12 States Parties to the Convention</t>
  </si>
  <si>
    <t>Data and research show that children are being trafficked transnationally, as well as internally, for different forms of exploitation (sexual exploitation, forced labour, domestic servitude, forced begging, forced criminal activities, forced marriage). The report intends to analyze the gaps on the implementation of the Convention and to give examples of practices to face child trafficking.</t>
  </si>
  <si>
    <t>GRETA 7th general report on its activities</t>
  </si>
  <si>
    <t xml:space="preserve">Victims of human trafficking </t>
  </si>
  <si>
    <t>sex, age, type of exploitation, country of origin and/or destination</t>
  </si>
  <si>
    <t>WRITTEN COMMENTS OF THE EUROPEAN ROMA RIGHTS CENTRE, CONCERNING ROMANIA For Consideration by the Committee on the Rights of the Child</t>
  </si>
  <si>
    <t>Census of the Population and Households by the National Statistics Institute of Romania, annual surveys carried out by the National
Council for Combating Discrimination, other  unofficial estimates</t>
  </si>
  <si>
    <t>Different indicators concerning Roma population in Romania</t>
  </si>
  <si>
    <t>The ERRC undertakes regular monitoring of the human rights situation of Roma in Romania. This paper focuses on the main issues concerning them: discrimination of Roma people in education and right to housing.</t>
  </si>
  <si>
    <t>Roma Belong. Statelessness, Discrimination and Marginalisation
of Roma in the Western Balkans and Ukraine</t>
  </si>
  <si>
    <t xml:space="preserve">Roma population in the Western Balkans and Ukraine in situation of statelessness, birth registrations, documentation issuing, permanent residence data </t>
  </si>
  <si>
    <t xml:space="preserve">This report synthesises the findings of the #RomaBelong project, which set out to explore the nexus between statelessness, discrimination and marginalisation of Romani people in the Western Balkans and Ukraine. </t>
  </si>
  <si>
    <t>reports, research, statistical data, and strategic documents existing before, interviews with Romani leaders and experts in the fields of Romani education and culture, field research (conduct of small groups, meeting with Romani people and interviews)</t>
  </si>
  <si>
    <t>child marriages, early births, education status</t>
  </si>
  <si>
    <t>UNICEF</t>
  </si>
  <si>
    <t>age, gender, educational level</t>
  </si>
  <si>
    <t>110 girls and boys in total, between the ages of 15 to 20 (in case of the focus groups conducted)</t>
  </si>
  <si>
    <t>The research results aim at setting up the basis for a series of supportive activities and preventive measures that will contribute to decreasing the number of school dropouts and increasing the educational status of Romani girls</t>
  </si>
  <si>
    <t>MICS Survey of Roma Settlements and National Survey, 2011–2012; The former Yugoslav Republic of Macedonia: MICS Survey of Roma Settlements and National Survey, 2011; Serbia: MICS Survey of Roma Settlements and National Survey, 2010</t>
  </si>
  <si>
    <t>household with children, orphaned children, birth registration, water and sanitation, solid fuel use, low birthweight, nutritional status, vaccinations, care of illness, early marriage, early birth, AIDS knowledge, drugs use, sexual behavior, education, domestic violence...</t>
  </si>
  <si>
    <t>nationality, gender, ethnicity, age</t>
  </si>
  <si>
    <t>1800 households in Bosnia and Herzegovina, 1120 households in Macedonia, 1800 households in Serbia</t>
  </si>
  <si>
    <t>It aims to document how Roma children fare in comparison to national averages for all children, and where achievements have been made in social inclusion in the three countries.</t>
  </si>
  <si>
    <t>Child marriage among the Roma population in Serbia. Ethnographic research</t>
  </si>
  <si>
    <t>Acceptance of marital status and marriage in general, agency, role of social and cultural norms, perception of the importance of education and its benefits, social integration, 'glass ceiling' phenomenon</t>
  </si>
  <si>
    <t>gender, ethnicity, age</t>
  </si>
  <si>
    <t>70 male and female members of Roma communities of diverse ages and from different social and geographical contexts in Serbia</t>
  </si>
  <si>
    <t>The report is intended for all stakeholders active in working to reduce the number of child marriages among the Roma community in Serbia, towards the goal of ending the practice altogether</t>
  </si>
  <si>
    <t>Discrimination and the Roma Community. Analysis of intersectional discrimination, with a spotlight on Roma women (Spain)</t>
  </si>
  <si>
    <t>cases of discrimination taken to the FGS</t>
  </si>
  <si>
    <t>Media treatment, access to housing, access to goods and services, access to justice, hate speech online...</t>
  </si>
  <si>
    <t>Fundación Secretariado Gitano (FSG)</t>
  </si>
  <si>
    <t>source of discrimination (media, internet, access to employment, healthcare...), individual/group, gender, age</t>
  </si>
  <si>
    <t>based on 232 cases of discrimination, with 278 people assisted</t>
  </si>
  <si>
    <t>The report's main purpose is to uncover and report the discrimination suffered by the Roma community in Spain. This one includes special analysis of a core issue—intersectional discrimination—
with particular attention for the situation of Roma women, and indicates progress and best practice in this area.</t>
  </si>
  <si>
    <t>Human rights of Roma and Travellers in Europe</t>
  </si>
  <si>
    <t>Research by the European Roma Rights Centre (ERRC) and People in Need (PiN), official government data among others</t>
  </si>
  <si>
    <t xml:space="preserve">Anti-gypsyism, racially motivated violence, access and treatment by justice, respect for private and family life, trafficking in Roma human beings, economic and social rights (education, housing, employment, healthcare, access to goods, services and public spaces), personal documentation, freedom of movement and international protection, participation in public life </t>
  </si>
  <si>
    <t>Comprehensive report on the human rights situation of Roma and Travellers in Europe in order to encourage a constructive discussion on what must be done in order
to put an end to discrimination and marginalisation.</t>
  </si>
  <si>
    <t>Diagnóstico social de la comunidad gitana en España (Social Diagnosis of the Roma community in Spain)</t>
  </si>
  <si>
    <t>Center for Sociological Investigation (CIS) surveys</t>
  </si>
  <si>
    <t>employment, education level, healthcare, housing, poverty, subjective and objective discrimination, social involvement</t>
  </si>
  <si>
    <t>Ministry of Health, Social Services and Equality of Spain</t>
  </si>
  <si>
    <t>Monitoring the human rights situation of Roma in Ukraine: Country report</t>
  </si>
  <si>
    <t>Access to social services</t>
  </si>
  <si>
    <t>Roma Women Fund “Chiricli”</t>
  </si>
  <si>
    <t xml:space="preserve">region, type of social service </t>
  </si>
  <si>
    <t>429 Roma participated in the focus groups; 840 Roma were interviewed; 12 municipalities/areas covered</t>
  </si>
  <si>
    <t xml:space="preserve">Indicative of intersectional factors that result in increased vulnerability of Ukrainian Roma. </t>
  </si>
  <si>
    <t>Year</t>
  </si>
  <si>
    <t>Regional  Survey on Roma and IDPs</t>
  </si>
  <si>
    <t>Regional  Survey on Roma</t>
  </si>
  <si>
    <t>FRA</t>
  </si>
  <si>
    <t xml:space="preserve">Collection of data on the socio-economic position of marginalised Roma 11 EU Member States (BG, CZ, HU, RO, SK, EL, PL, ES, PT, IT, FR) </t>
  </si>
  <si>
    <t>Data collecting entity</t>
  </si>
  <si>
    <t>Link to the data set</t>
  </si>
  <si>
    <t xml:space="preserve">At Risk: Roma and Displaced in South-East Europe </t>
  </si>
  <si>
    <t>SPSS file and questionnaires</t>
  </si>
  <si>
    <t xml:space="preserve"> Full dataset (SPSS),</t>
  </si>
  <si>
    <t>Survey on discrimination and social exclusion of Roma in EU</t>
  </si>
  <si>
    <t>Data visualisation 2011</t>
  </si>
  <si>
    <t>Survey on Minorities and Discrimination in EU</t>
  </si>
  <si>
    <t>Data visualisation - 2016</t>
  </si>
  <si>
    <t>Collection of data on the socio-economic position of marginalised Roma five CEU countries (BG, CZ, HU, RO, SK) plus Albania, Bosnia and Herzegovina, Croatia, the former Yugoslavia Republic of Macedonia, Montenegro, Serbia and Kosovo</t>
  </si>
  <si>
    <t>Same as 2004</t>
  </si>
  <si>
    <t>Country profiles</t>
  </si>
  <si>
    <t>European Union minorities and discrimination survey 2008: EU-MIDIS, main results</t>
  </si>
  <si>
    <t>EU-wide survey with Roma sample in respective countries</t>
  </si>
  <si>
    <t>Method</t>
  </si>
  <si>
    <t>Second European Union Minorities and Discrimination Survey Roma – Selected findings (2016)</t>
  </si>
  <si>
    <t>A persisting concern: anti-Gypsyism as a barrier to Roma inclusion  (2018)</t>
  </si>
  <si>
    <t>Roma women in nine EU Member States (2018)</t>
  </si>
  <si>
    <t>Transition from education to employment of young Roma in nine EU Member States (2018)</t>
  </si>
  <si>
    <t>EU-wide survey with Roma sample in 9 EU Member States countries</t>
  </si>
  <si>
    <t>Publication (with link)</t>
  </si>
  <si>
    <t>Regional Roma Survey 2017: Country fact sheets</t>
  </si>
  <si>
    <t xml:space="preserve">Survey on Roma and travellers in 6 EU Member States not covered by the 2016 survey  on Minorities and Discrimination in EU </t>
  </si>
  <si>
    <t>Gathering of data on Roma populations showing their special vulnerability in comparison to non-Roma citizens in 11 souteastern EU Member States</t>
  </si>
  <si>
    <t>Survey on discrimination and social exclusion of Roma in EU (2011)</t>
  </si>
  <si>
    <t>Report to address the severe lack of data on the economic situation of Roma in the EU and the fulfilment of their rights.</t>
  </si>
  <si>
    <t>Country of residence</t>
  </si>
  <si>
    <t>Document description</t>
  </si>
  <si>
    <t>employment, access to assets, housing, standard of living and income sources, opportunities, health, education and social services, social capital and relations, and participation in cultural and political life</t>
  </si>
  <si>
    <t>Roma/non-Roma, country of residence</t>
  </si>
  <si>
    <t>Face-to face interviews</t>
  </si>
  <si>
    <t xml:space="preserve">23500 respondents from the 27 EU members, 3500 Roma and 5000 non-Roma </t>
  </si>
  <si>
    <t>employment, education, housing and health is not satisfactory and is worse, on average</t>
  </si>
  <si>
    <t>This report identifies a worrying disconnect in the transition from education to employment, with many young Roma leaving school early (before upper secondary) but remaining unemployed.</t>
  </si>
  <si>
    <t>education, employment, healthcare and housing, social exclusion, deprivation</t>
  </si>
  <si>
    <t>Country of residence, gender</t>
  </si>
  <si>
    <t>Age, gender, educational level, type of occupation, type of working contracts, country of residence</t>
  </si>
  <si>
    <t>The report reviews data on specific areas of life, such as education, employment, healthcare and housing – all areas in which prejudice and racism against Roma continue to undermine true progress.</t>
  </si>
  <si>
    <t>employment, education, housing and health services, discrimination experiences</t>
  </si>
  <si>
    <t>Country of residence, gender, age</t>
  </si>
  <si>
    <t xml:space="preserve">Report highlighting persisting barriers to employment, education, housing and health services. </t>
  </si>
  <si>
    <t xml:space="preserve">Report on Health status of the Roma population.
</t>
  </si>
  <si>
    <t>SPSS file</t>
  </si>
  <si>
    <t>Survey on Roma health from a gender perspective in Macedonia</t>
  </si>
  <si>
    <t>Survey on the access to health care of the Roma population</t>
  </si>
  <si>
    <t>Report on violence and hate crimes against Roma population</t>
  </si>
  <si>
    <t>Report evaluating the implementation of the Convention against Trafficking in Human Beings in Bulgaria</t>
  </si>
  <si>
    <t>Report on the activities of GRETA, that in 2017 were focused on human trafficking</t>
  </si>
  <si>
    <t>Questionnaire</t>
  </si>
  <si>
    <t>Written comments of the European Roma Rights Centre, concerning Romania. For Consideration by the Committee on the Rights of the Child</t>
  </si>
  <si>
    <t>Report on the existing situation of statelessness, discrimination and marginalisation of Roma people in the Western Balkans and Ukraine.</t>
  </si>
  <si>
    <t>Roma Belong. Statelessness, Discrimination and Marginalisation</t>
  </si>
  <si>
    <t>Redaction of a common format RECI National Report for each country examined</t>
  </si>
  <si>
    <t>Overview report on the inclusion of young Roma children in the Czech Republic, the former Yugoslav Republic of Macedonia, Romania and Serbia.</t>
  </si>
  <si>
    <t>Report on the Roma social norms that prevent its girls from access to education</t>
  </si>
  <si>
    <t>The rights of Roma children and women in Bosnia and Herzegovina, the former Yugoslav Republic of Macedonia, and Serbia</t>
  </si>
  <si>
    <t>Survey that settles the human rights fulfillment of Roma women and children in Bosnia, the former Yugoslav, the Republic of Macedonia and Serbia</t>
  </si>
  <si>
    <t>Multiple Indicator Cluster Surveys</t>
  </si>
  <si>
    <t>Survey on cultural norms and tendencies regarding child marriage among the Roma population in Serbia</t>
  </si>
  <si>
    <t>Research work on the vulneration of human rights of Roma communities and Travellers in Europe</t>
  </si>
  <si>
    <t>Diagnóstico social de la comunidad gitana en España</t>
  </si>
  <si>
    <t>Analysis of the surveys undertaken by the CIS in Spain to the Roma community</t>
  </si>
  <si>
    <t>Report informing of the special needs and human rights situation of Roma in Ukraine</t>
  </si>
  <si>
    <t>interviews, consultations with ONGs and local authorities</t>
  </si>
  <si>
    <t>Roma Data</t>
  </si>
  <si>
    <t>in the same document</t>
  </si>
  <si>
    <t>analysis</t>
  </si>
  <si>
    <t>no defined sources accessible</t>
  </si>
  <si>
    <t>Desk Research based on the review of secondary data + survey</t>
  </si>
  <si>
    <t xml:space="preserve"> analysis; semi-structured interviews</t>
  </si>
  <si>
    <t>State reports</t>
  </si>
  <si>
    <t>analysis; interviews</t>
  </si>
  <si>
    <t>surveying Roma individuals and associations, state actors, NGOs, journalists and international agencies, official government data</t>
  </si>
  <si>
    <t>analysis; group work</t>
  </si>
  <si>
    <t>The Rights of Roma Children and Women in Bosnia and Herzegovina, the former Yugoslav Republic of Macedonia, and Serbia</t>
  </si>
  <si>
    <t>Discrimination against Roma individuals taken to the FSG in Spain</t>
  </si>
  <si>
    <t>interviews</t>
  </si>
  <si>
    <t>surveys and data research</t>
  </si>
  <si>
    <t>semi-structured interviews and analysis</t>
  </si>
  <si>
    <t>TABLE 1: International/foreign data collection efforts/instruments - Roma</t>
  </si>
  <si>
    <t>Collecting entity</t>
  </si>
  <si>
    <t>Link to the set</t>
  </si>
  <si>
    <t>EU LGBT survey - European Union lesbian, gay, bisexual and transgender survey</t>
  </si>
  <si>
    <t>2013</t>
  </si>
  <si>
    <t>Fundamental Rights Agency (FRA)</t>
  </si>
  <si>
    <t>The survey results provide valuable evidence of how LGBT persons in the EU and Croatia experience bias-motivated discrimination, violence and harassment in different areas of life, including employment, education, healthcare, housing and other services.</t>
  </si>
  <si>
    <t>online surveys</t>
  </si>
  <si>
    <t>93,079 persons aged 18 years or over who identified as lesbian, gay, bisexual or transgender, residents in the EU or Croatia</t>
  </si>
  <si>
    <t>free access to employment, education, healthcare, social services and a number of goods and services available to the public such as cafés and restaurants, banks and shops – with a particular focus on discrimination, violence and harassment on the basis of being LGBT</t>
  </si>
  <si>
    <t>sexual orientation and gender identity, age, nationality</t>
  </si>
  <si>
    <t>EU LGBTI survey II - European Union lesbian, gay, bisexual, transgender and intersex survey</t>
  </si>
  <si>
    <t>Ongoing (results will be published in 2020)</t>
  </si>
  <si>
    <t>The survey collects the experiences of discrimination and hate crime as well as the views and challenges faced by lesbian, gay, bisexual, trans and, for the first time, intersex people across the EU, North Macedonia and Serbia.</t>
  </si>
  <si>
    <t>Online surveys</t>
  </si>
  <si>
    <t>The 2019 repeat survey aims to assist the EU and Member States in their efforts to further strengthen legal and policy frameworks protecting the fundamental rights of LGBTI people.</t>
  </si>
  <si>
    <t>State-Sponsored Homophobia report</t>
  </si>
  <si>
    <t>2019 (yearly publication)</t>
  </si>
  <si>
    <t>International Lesbian, Gay, Bisexual, Trans and Intersex Association (ILGA)</t>
  </si>
  <si>
    <t>Analysis of legislation criminalising homosexuality in force around the world and the human rights situation for the LGTBI community in each UN Member State and compilation of essays written by scholars and activists on the socio-legal situation in different regions around the world (Global Perspectives).</t>
  </si>
  <si>
    <t>official data research, compilation of essays</t>
  </si>
  <si>
    <t>legislation of all UN Member States and +30 essays</t>
  </si>
  <si>
    <t>national and international legislation protecting human rights and criminalising LGTBI community</t>
  </si>
  <si>
    <t>country</t>
  </si>
  <si>
    <t>Minorities Report 2017: attitudes to sexual and gender minorities around the world</t>
  </si>
  <si>
    <t>2017</t>
  </si>
  <si>
    <t>Global attitudes survey on attitudes towards sexual, gender and sex minorities</t>
  </si>
  <si>
    <t>Online survey</t>
  </si>
  <si>
    <t>116,000 respondents in 75 countries (plus Hong Kong and Taiwan)</t>
  </si>
  <si>
    <t>socialization, employment, rights and protections, legal recognition, criminalization of engagement, religion, culturalization</t>
  </si>
  <si>
    <t>Survey to gather and assess credible data on public attitudes to particular issues related to sexual orientation, gender identity, gender expression and sex characteristics.</t>
  </si>
  <si>
    <t>ILGA-RIWI Global Attitudes Survey on LGTBI People</t>
  </si>
  <si>
    <t>2016</t>
  </si>
  <si>
    <t>Year-on-year survey to gather and assess credible data on public attitudes to particular issues related to sexual orientation, gender identity, gender expression and sex characteristics.</t>
  </si>
  <si>
    <t>96,331 respondents from 53 States</t>
  </si>
  <si>
    <t>attitudes in the personal and political field</t>
  </si>
  <si>
    <t>sexual orientation, geography, gender identity (male/female/other), sex characteristic status, and age</t>
  </si>
  <si>
    <t>To signal how deeply entrenched hetero-normative concepts of sexual orientation and gender identity still are in the world population, despite the differences between regions, and to follow its evolution over the years</t>
  </si>
  <si>
    <t>Rainbow Europe ranking</t>
  </si>
  <si>
    <t>2018</t>
  </si>
  <si>
    <t>ILGA-Europe</t>
  </si>
  <si>
    <t>Rainbow Europe brings together both the legal index of LGBTI equality based on our Rainbow Europe Map and an overview of the social climate for LGBTI people in each country based on our Annual Review of the Human Rights Situation of Lesbian, Gay, Bisexual, Trans and Intersex People in Europe.</t>
  </si>
  <si>
    <t>online data collection</t>
  </si>
  <si>
    <t>EU Member States</t>
  </si>
  <si>
    <t>equality and non-discrimination; family; hate crime and hate speech; legal gender recognition and bodily integrity; civil society space; and asylum.</t>
  </si>
  <si>
    <t>provides insights into the political and social developments in each European country, along with a feeling of what everyday life for LGBTI people is like beyond the laws and policies. Rainbow Europe makes it easier to keep up to date with the latest developments in European LGBTI rights.</t>
  </si>
  <si>
    <t>The Global Divide on Homosexuality</t>
  </si>
  <si>
    <t>survey</t>
  </si>
  <si>
    <t>telephone and face-to-face interviews</t>
  </si>
  <si>
    <t>from 700 to 1000 people for each of the 40 countries surveyed</t>
  </si>
  <si>
    <t>acceptance or rejection of homosexuality</t>
  </si>
  <si>
    <t>religion, country of residence, age, gender</t>
  </si>
  <si>
    <t>To gather data regarding the global acceptance or rejection of homosexuality, making clear that there is a division between geographical areas that are more influenced by religion and the ones that are not</t>
  </si>
  <si>
    <t>Discrimination on grounds of sexual orientation and gender identity in Europe. Background document</t>
  </si>
  <si>
    <t>2011</t>
  </si>
  <si>
    <t>It contains a socio-legal analysis of the human rights situation of LGTB persons across member states. Its data was used to prepare the report "Discrimination on grounds of sexual orientation and gender identity in Europe"</t>
  </si>
  <si>
    <t>research, interviews</t>
  </si>
  <si>
    <t xml:space="preserve">27 EU Member States </t>
  </si>
  <si>
    <t>The aim of this study was to gather reliable data on the socio-legal situation of the LGTB community across the EU, in order to redact a Human Rights Commissioner paper focused on this issues.</t>
  </si>
  <si>
    <t>Homophobia and Discrimination on Grounds of Sexual Orientation in the EU Member States Part I - Legal Analysis</t>
  </si>
  <si>
    <t>2008</t>
  </si>
  <si>
    <t>The report examines the situation of homophobia in the 27 EU Member States. It analyses comparatively key legal provisions, relevant judicial data, such as court decisions, and case law in the Member States.</t>
  </si>
  <si>
    <t>research</t>
  </si>
  <si>
    <t>comparative analysis</t>
  </si>
  <si>
    <t>27 EU Member States</t>
  </si>
  <si>
    <t>employment, freedom of movement, asylum and subsidiary protection, family reunification, freedom of assembly, criminal law, transgender issues</t>
  </si>
  <si>
    <t>To assist the Committee on Civil Liberties, Justice and Home Affairs of the European Parliament, when discussing the need for a Directive covering all grounds of discrimination listed in Article 13 of the EC Treaty for the sectors of education, social security, healthcare, and access to goods and services.</t>
  </si>
  <si>
    <t>Homophobia and Discrimination on Grounds of Sexual Orientation and Gender Identity in the EU Member States: Part II - The Social Situation</t>
  </si>
  <si>
    <t>2009</t>
  </si>
  <si>
    <t>The report finds that discrimination, harassment and violence against LGBT (Lesbian, Gay, Bisexual and Transgender) persons are widespread throughout the EU.</t>
  </si>
  <si>
    <t>sociological analysis, interviews and round-table discussions with key actors</t>
  </si>
  <si>
    <t>Utility</t>
  </si>
  <si>
    <t>Domestic Violence against Women Report. Special Eurobarometer 344</t>
  </si>
  <si>
    <t>2010</t>
  </si>
  <si>
    <t>Eurobarometer</t>
  </si>
  <si>
    <t>The survey follows on from a previous Eurobarometer survey conducted in 1999 in the 15 Member States at that moment, and hence offers a comparative analysis of the results of the two surveys.</t>
  </si>
  <si>
    <t>Eurobarometer survey</t>
  </si>
  <si>
    <t>face-to-face interview in people's homes, in national language</t>
  </si>
  <si>
    <t>26.800 EU citizens</t>
  </si>
  <si>
    <t>sex, nationality, age, educational status, socio-economical status</t>
  </si>
  <si>
    <t>To measure the evolution of European public opinion concerning domestic violence against women since 1999, which can be seen as the starting point for collecting information about the public’s view on this important problem. Evolutions are particularly interesting to study considering the changing legal context over the past ten years.</t>
  </si>
  <si>
    <t>Gender-based violence. Special Eurobarometer 449</t>
  </si>
  <si>
    <t>The report collects data by national authorities, surveys on women's experiences of violence and research into attitudes towards gender violence</t>
  </si>
  <si>
    <t>Surveys, official data from authorities, data from research</t>
  </si>
  <si>
    <t>27.818 EU citizens</t>
  </si>
  <si>
    <t xml:space="preserve">perceived prevalence, acceptability and personal awareness of domestic violence, awareness of support services for its victims, perception of the appropriate legal response, perceptions about the attitude towards it </t>
  </si>
  <si>
    <t>This survey aims to assess the perceptions of EU citizens about gender-based violence</t>
  </si>
  <si>
    <t>Violence against women: an EU-wide survey.</t>
  </si>
  <si>
    <t>2014</t>
  </si>
  <si>
    <t>European Union Agency for Fundamental Rights (FRA)</t>
  </si>
  <si>
    <t>42.000 women across 28 EU Member States</t>
  </si>
  <si>
    <t>experiences of physical, sexual and psychological violence, incidents of intimate partner violence (‘domestic violence’), stalking, sexual harassment, the role played by new technologies in women’s experiences of abuse, experiences of
violence in childhood</t>
  </si>
  <si>
    <t>age, educational status, professional status, nationality</t>
  </si>
  <si>
    <t>The findings reinforce the need to ensure implementation of existing EU measures for victims of crime, most notably through the EU Victims’ Directive. They also serve to underline the importance of targeted EU legislation and policies addressing violence against women.</t>
  </si>
  <si>
    <t>OSCE-led survey on violence against women: Main report</t>
  </si>
  <si>
    <t>2019</t>
  </si>
  <si>
    <t>OSCE</t>
  </si>
  <si>
    <t>More than 15,000 women from Albania, Bosnia and Herzegovina, Montenegro, North Macedonia, Serbia, Moldova and Ukraine were asked about different forms of violence they have experienced over the course of their lives.</t>
  </si>
  <si>
    <t>interviews, research</t>
  </si>
  <si>
    <t>quantitative survey, qualitative research</t>
  </si>
  <si>
    <t>15.000 women from Albania, Bosnia and Herzegovina, Montenegro,
North Macedonia and Serbia, Moldova
and Ukraine</t>
  </si>
  <si>
    <t>proportions of women and girls subjected to sexual, physical or psychological violence by current/former partner/non-partners</t>
  </si>
  <si>
    <t>age, nationality, urban/rural area, educational status</t>
  </si>
  <si>
    <t>The survey provides much-needed information that will help depict the current situation concerning VAWG in OSCE participating Sates, and it will also enable the planning and development of cross-regional initiatives and actions as well as local policies and services</t>
  </si>
  <si>
    <t>GLOBAL STUDY ON HOMICIDE Gender-related killing of women and girls</t>
  </si>
  <si>
    <t>United Nations Office on Drugs and Crime</t>
  </si>
  <si>
    <t>Booklet released on the International Day for the Elimination of Violence against Women 2018 to raise awareness, increase understanding and inform action. It is also a call for Governments to help shed further light on these challenges by collecting the needed data and reporting on all forms of gender-based violence.</t>
  </si>
  <si>
    <t>homicide statistics produced by national statistical systems</t>
  </si>
  <si>
    <t>-</t>
  </si>
  <si>
    <t>intimate partner/family-related homicide, women in a context of conflict, sex workers</t>
  </si>
  <si>
    <t>sex, nationality, relation victim/perpetrator</t>
  </si>
  <si>
    <t>To provide an in-depth analysis of killings perpetrated within the family sphere and examines forms of gender-related killings perpetrated outside the family sphere, such as the killing of women in conflict and the killing of female sex workers</t>
  </si>
  <si>
    <t>The World's Women 2010 - Chapter 6: Violence against women</t>
  </si>
  <si>
    <t>United Nations Statistics Division</t>
  </si>
  <si>
    <t>Chapter 6, regarding violence against women, of the Report "The World's Women 2010", that highlights the differences in the status of women and men in eight areas – population and families, health, education, work, power and decision-making, violence against women, environment and poverty</t>
  </si>
  <si>
    <t>administrative records, surveys</t>
  </si>
  <si>
    <t>age, gender, other personal characteristics when possible</t>
  </si>
  <si>
    <t>Defining and identifying the different forms this violence takes in order to enable accurate assessment and quantification.</t>
  </si>
  <si>
    <t>Women's Rights in Western Balkans</t>
  </si>
  <si>
    <t>Kvinna till Kvinna Foundation with support from the Swedish
International Development Cooperation Agency
(Sida)</t>
  </si>
  <si>
    <t>official national statistics</t>
  </si>
  <si>
    <t>political participation, gender-based violence, assaults to Woman Human Rights Defenders</t>
  </si>
  <si>
    <t>nationality, gender</t>
  </si>
  <si>
    <t>Women and Men in Albania</t>
  </si>
  <si>
    <t>INSTAT (Albanian State Institute for Statistics)</t>
  </si>
  <si>
    <t>Publication launched to the general public with plenty of information on gender statistics in Albania, also including an in-depth analysis of the gender pay gap.</t>
  </si>
  <si>
    <t>domestic violence public perception study included in annual nation-wide observation of households</t>
  </si>
  <si>
    <t>nation-wide</t>
  </si>
  <si>
    <t>number of victims of domestic violence
number of victims of human trafficking
reported cases of domestic violence
percentage of murders in domestic violence</t>
  </si>
  <si>
    <t>gender, age group, education, residence, region, etc.</t>
  </si>
  <si>
    <t>Instrumental in informing gendered approaches to policy-making by providing data on trends, changes and current dynamics of the relations between men and women in all aspects of life - from demographics to parliament representation.</t>
  </si>
  <si>
    <t>National population survey: Violence against Women and Girls in Albania</t>
  </si>
  <si>
    <t>2018 (reported in 5-year intervals from 2007)</t>
  </si>
  <si>
    <t>INSTAT supported by UNDP and UN Women</t>
  </si>
  <si>
    <t>Survey developed to measure the nature and extent of five different types of VAWG (intimate partner domestic violence, dating violence, non-partner violence, sexual harassment, and, stalking) and social norms related to VAWG</t>
  </si>
  <si>
    <t>household survey</t>
  </si>
  <si>
    <t>relationship between child sexual abuse and violence in adulthood
negative cultural norms related to domestic violence
reasons for DV
child exposure to DV
domestic violence perpetrators by age and gender
dating violence incidence
indicators on incidence and perpetration of sexual harassment and stalking
incidence of male refusal to use birth control 
rate and reasons for reporting DV</t>
  </si>
  <si>
    <t>age group, gender, current vs. past violence, type of violence, type of violent act, type of cultural practice/norm</t>
  </si>
  <si>
    <t>Instrumental in giving in-depth data on the different types of DV and their effects - both physiological and psychological. Indicative of efforts to expand the scope of what is defined as "domestic violence".</t>
  </si>
  <si>
    <t>Women and Men in Bosnia and Herzegovina</t>
  </si>
  <si>
    <t xml:space="preserve">2013 </t>
  </si>
  <si>
    <t>Agency for Statistics of Bosnia and Herzegovina</t>
  </si>
  <si>
    <t>includes data from a variety of statistical and other areas categorized by gender. The data give a brief presentation of the status of women and men in BiH society.</t>
  </si>
  <si>
    <t>3,300 women; nationally representative; coverage in Federation BiH and Republika Sprska</t>
  </si>
  <si>
    <t>Incidence of any form of violence
potential trafficking victims</t>
  </si>
  <si>
    <t>age group, gender, residence, education of the victim, education of the partner, type of violence</t>
  </si>
  <si>
    <t xml:space="preserve">Indicative of trends and relationships between different factors for DV. </t>
  </si>
  <si>
    <t>Open access</t>
  </si>
  <si>
    <t>National survey on LGBT rights and experiences</t>
  </si>
  <si>
    <t>UK Government Equalities Office</t>
  </si>
  <si>
    <t>Report on the results of the 2017 survey of the LGBT community</t>
  </si>
  <si>
    <t>online questionnaire</t>
  </si>
  <si>
    <t>108,000 participants</t>
  </si>
  <si>
    <t xml:space="preserve">life satisfaction, personal safety, feeling comfortable in society, openness about being LGBT, incidents of discrimination and bias, conversion therapy, access to education, access to healthcare, workplace dynamics </t>
  </si>
  <si>
    <t>gender identity, sexual orientation</t>
  </si>
  <si>
    <t>National LGBT Survey: Summary report</t>
  </si>
  <si>
    <t>US survey among LGBT youth</t>
  </si>
  <si>
    <t>2012</t>
  </si>
  <si>
    <t>Human Rights Campaign</t>
  </si>
  <si>
    <t>Report on the results of a 2012 survey among LGBT youth inclusive of ethnic differences, social experiences, personal well-being, feelings of acceptance, support from family, etc.</t>
  </si>
  <si>
    <t>USA</t>
  </si>
  <si>
    <t>ethnicity, other partial disaggregation</t>
  </si>
  <si>
    <t>Growing up LGBT in America - HRC Youth Survey Report: Key Findings</t>
  </si>
  <si>
    <t xml:space="preserve">Indicative of the problematics of being a LGBT youth in America. Engages with issues of acceptance and well-being. </t>
  </si>
  <si>
    <t>Restricted</t>
  </si>
  <si>
    <t>Global Report 2018 by UNHCR</t>
  </si>
  <si>
    <t>2018 (published yearly)</t>
  </si>
  <si>
    <t>UNHCR</t>
  </si>
  <si>
    <t>presents the work carried out by UNHCR in 2018 to protect and improve the lives of refugees, returnees, internally displaced people, stateless persons, and others of concern.</t>
  </si>
  <si>
    <t>data from governments, regional organizations, and international and nongovernmental organizations.</t>
  </si>
  <si>
    <t>131 countries</t>
  </si>
  <si>
    <t>nationality, continent, gender, migrant condition</t>
  </si>
  <si>
    <t>It highlights the year’s achievements, as well as challenges faced in attempting to respond to multiple life-threatening crises and ever-growing humanitarian needs.</t>
  </si>
  <si>
    <t>Regional summary of Europe by UNHCR</t>
  </si>
  <si>
    <t>European regional summary of data collected by the UNHCR regarding refugees, asylum seekers, stateless population and assimilated.</t>
  </si>
  <si>
    <t>data from governments, regional organizations, and international and nongovernmental organizations and UNHCR</t>
  </si>
  <si>
    <t>European countries</t>
  </si>
  <si>
    <t>resettlement, biometric registration, cash-based interventions, refugees living in/out camps, child protection, budget allocated</t>
  </si>
  <si>
    <t>nationality, migrant condition</t>
  </si>
  <si>
    <t>Global Trends in Forced Displacement 2018</t>
  </si>
  <si>
    <t>This Global Trends report analyses statistical trends and changes in global displacement from January to December 2018 in populations for whom UNHCR has been entrusted with a responsibility by the international community, including refugees, asylum-seekers, returnees, stateless people and conflict-affected internally displaced people.</t>
  </si>
  <si>
    <t>data reported by governments, non-governmental organizations, and UNHCR.</t>
  </si>
  <si>
    <t>74.8 million people</t>
  </si>
  <si>
    <t>country of origin/destination/location, migrant condition, age, gender</t>
  </si>
  <si>
    <t xml:space="preserve">To give an overview of the huge amount of displaced population seeking protection in foreigner countries in order to guide future national and international policies. </t>
  </si>
  <si>
    <t>2019 (published quarterly)</t>
  </si>
  <si>
    <t>Eurostat</t>
  </si>
  <si>
    <t>It describes recent developments in relation to numbers of asylum applicants and first instance decisions on asylum applications in the European Union (EU).</t>
  </si>
  <si>
    <t>Eurostat statistics from data provided by interior and justice ministries or immigration agencies of the Member States and EFTA countries.</t>
  </si>
  <si>
    <t>EU28 countries</t>
  </si>
  <si>
    <t>asylum and first-time asylum-seekers</t>
  </si>
  <si>
    <t>citizenship, age, gender</t>
  </si>
  <si>
    <t>The report provides data on where the applicants come from, the trends in the number of applicants, where do applicants go and the decisions on asylum applications</t>
  </si>
  <si>
    <t>Human Rights Watch World Report</t>
  </si>
  <si>
    <t>2019 (published yearly)</t>
  </si>
  <si>
    <t>Human Rights Watch</t>
  </si>
  <si>
    <t>Annual review of human rights practices, aiming at reflecting the work of their advocacy team, which monitors policy developments to persuade governments and international institutions to curb abuses and promote human rights.</t>
  </si>
  <si>
    <t>migrants, asylum-seekers, cases of discrimination and intolerance, legal actions, terrorism and counterterrorism</t>
  </si>
  <si>
    <t>Role of public services in integrating refugees and asylum seekers</t>
  </si>
  <si>
    <t>Eurofound</t>
  </si>
  <si>
    <t xml:space="preserve">This study focuses on measures in place in EU Member States to facilitate the integration of refugees and asylum seekers. </t>
  </si>
  <si>
    <t>literature review, analysis of data and case studies</t>
  </si>
  <si>
    <t>interviews for the case studies</t>
  </si>
  <si>
    <t>Austria, Finland, Germany, the Netherlands and Sweden</t>
  </si>
  <si>
    <t>policy actions, fund programmes and integration measures, employment, education, housing, health, social integration, asylum seekers and refugee flows, sustainability and transferability</t>
  </si>
  <si>
    <t>country, TCN condition</t>
  </si>
  <si>
    <t>explores the role of public services – specifically housing, social services, health and education services – in the social and economic integration of refugees and asylum seekers. It aims to identify the factors that hinder this process and the elements that contribute to successful integration.</t>
  </si>
  <si>
    <t>Integration of Immigrants in the European Union. Special Eurobarometer 469</t>
  </si>
  <si>
    <t>This survey uses a set of questions specifically tailored to measure the attitudes of Europeans towards immigration and the integration of non-EU immigrants.</t>
  </si>
  <si>
    <t>28080 residents in the EU, citizens and non</t>
  </si>
  <si>
    <t>In order to better understand how the EU institutions can work with Member States and other actors to respond to the challenges of integration, it is necessary to have a clearer understanding of public opinion on the issue, and this is what this survey tries to find out</t>
  </si>
  <si>
    <t>Annual report on the situation of asylum in the EU in 2018</t>
  </si>
  <si>
    <t>European Asylum Support Office (EASO)</t>
  </si>
  <si>
    <t>comprehensive overview of developments in the field of international protection at the European level and at the level of national asylum systems.</t>
  </si>
  <si>
    <t>EU members</t>
  </si>
  <si>
    <t>applications for international protection, actions by governments, pending cases of asylum-seeking...</t>
  </si>
  <si>
    <t>country of destination/origin</t>
  </si>
  <si>
    <t>reference document that aims to provide a comprehensive overview of the situation of asylum in the EU+, describing and analysing flows of applicants for international protection, major developments in legislation, jurisprudence, and policies at EU+ and national level and reporting on the practical functioning of the Common European Asylum System (CEAS).</t>
  </si>
  <si>
    <t>Settling in 2018. Indicators of immigrant integration</t>
  </si>
  <si>
    <t xml:space="preserve">2018 </t>
  </si>
  <si>
    <t xml:space="preserve"> Directorate-General for Migration and Home Affairs (European Commission) and Organisation for Economic Co-operation and Development (OECD)</t>
  </si>
  <si>
    <t xml:space="preserve">Third publication of "Settling In" series, started in 2012. It presents a comprehensive international comparison across all EU and OECD countries, as well as of selected other G20 countries, of the integration outcomes for immigrants and their children. </t>
  </si>
  <si>
    <t>OECD, Eurostat, FRA, IOM Migration Research and Training Centre and EU and OECD countries data</t>
  </si>
  <si>
    <t>EU, OECD and G20 countries</t>
  </si>
  <si>
    <t>composition of immigrant populations and households, immigrants skills and labour market access, living conditions of immigrants, immigrant civic engagement and social integration, gender differences in integration, integration of young immigrants, TCN integration in the EU</t>
  </si>
  <si>
    <t>country of origin/residence (EU/non-EU), age, gender</t>
  </si>
  <si>
    <t>documents the integration outcomes of immigrants and their children in all EU and OECD countries, as well as in selected non-OECD G20 countries, focusing on skills and labour market outcomes, living conditions and integration in the host society; and providing comprehensive background information on immigrants and their lives.</t>
  </si>
  <si>
    <t>Migrant integration statistics</t>
  </si>
  <si>
    <t>Quick insight into Eurostat’s migrant integration statistics. It presents an overview of the indicators of migrant integration which aim to support the monitoring of the situation of migrants and the outcomes of integration policies.</t>
  </si>
  <si>
    <t xml:space="preserve">Eurostat statistics </t>
  </si>
  <si>
    <t>employment, education, social inclusion, active citizenship</t>
  </si>
  <si>
    <t>country of birth (native or foreign-born: non-EU, EU born), country of citizenship (national or foreign: EU, non-EU citizen)</t>
  </si>
  <si>
    <t>Integration of refugees in Greece, Hungary and Italy. Comparative analysis</t>
  </si>
  <si>
    <t>Directorate-General for internal policies. European Parliament</t>
  </si>
  <si>
    <t>Analysis of three transit countries without pre-existing experience in the reception and integration of asylum seekers and refugees, that have experienced unexpected inflows of them since 2015. This phenomenon has started in a moment of difficult socioeconomic and employment conditions for the three countries.</t>
  </si>
  <si>
    <t>each countries own reports, comparative studies and data produced by international and European institutions and research centres.</t>
  </si>
  <si>
    <t>Greece, Hungary and Italy</t>
  </si>
  <si>
    <t>application rejections, socio-demographic conditions of asylum seekers, labour market conditions, access to social assistance, access to health care, access to education, accommodation facilities</t>
  </si>
  <si>
    <t xml:space="preserve">country of residence/origin, age </t>
  </si>
  <si>
    <t xml:space="preserve">comparative overview of recent policy developments in Greece, Hungary and Italy, focusing on progress achieved in the last three years in the adaptation of the reception and integration system for the high numbers of new arrivals and on the main challenges encountered, with a focus on labour market integration measures. </t>
  </si>
  <si>
    <t>Housing out of reach? The reception of refugees and asylum seekers in Europe</t>
  </si>
  <si>
    <t>Asylum Information Database (AIDA)</t>
  </si>
  <si>
    <t>A comparative report published by AIDA and managed by ECRE, that provides an update to ECRE’s analysis of reception systems in Europe following the steady decrease in arrivals of refugees and asylum seekers in the past three years.</t>
  </si>
  <si>
    <t>Asylum Information Database (AIDA) data</t>
  </si>
  <si>
    <t>23 countries covered by the Asylum Information Database</t>
  </si>
  <si>
    <t>asylum applications, reception capacity, accommodation capacities, financial support</t>
  </si>
  <si>
    <t>The report focuses on the management of reception capacity in light of varying pressure on the asylum systems, as well as the implications of the continued residence of beneficiaries of international protection in facilities for asylum seekers.</t>
  </si>
  <si>
    <t>Refugee population by country or territory of asylum</t>
  </si>
  <si>
    <t>1990-2018</t>
  </si>
  <si>
    <t>Collection of data from United Nations Commissioner for Refugees ( UNHCR ), Statistics Database, Statistical Yearbook and data files</t>
  </si>
  <si>
    <t>refugee population, net migration, international migrant stock</t>
  </si>
  <si>
    <t>General data on refugees and migration around the globe</t>
  </si>
  <si>
    <t>EMN Synthesis Report on Illegal employment of third-country nationals in the European Union</t>
  </si>
  <si>
    <t>European Migration Network</t>
  </si>
  <si>
    <t>The study demonstrates that action against illegal employment of TCNs is still very low in some Member States, and it needs to be stepped up by introducing and implementing protective measures and risk assessments to improve its identification. Such measures (if effectively implemented) are expected to ultimately increase the number of identified cases and convictions for employers.</t>
  </si>
  <si>
    <t>each stage of the illegal employment policy ‘cycle’ for TCNs: (preventive measures and incentives for employers and employees; identification of illegal employment of TCNs; sanctions for employers and outcomes for employees.</t>
  </si>
  <si>
    <t>status of TNC, type of employment, regular/irregular status, gender, age, nationality</t>
  </si>
  <si>
    <t>The aim of this Focused Study is to map and analyse the measures in place at Member States level to fight the illegal employment of TCNs, possible problematic areas and obstacles in this field and strategies and good practices to overcome them.</t>
  </si>
  <si>
    <t>RETURN OF THIRD-COUNTRY NATIONALS Special report 2016</t>
  </si>
  <si>
    <t>The Greek Ombudsman</t>
  </si>
  <si>
    <t>Report by the Greek Ombudsman that analyses the cases of return of TCNs in an irregular situation</t>
  </si>
  <si>
    <t>investigation</t>
  </si>
  <si>
    <t>complaint investigation, interventions, on-site inspections, monitoring of return procedures</t>
  </si>
  <si>
    <t>Greece</t>
  </si>
  <si>
    <t>forced/voluntary returns, detainees in pre-removal centres</t>
  </si>
  <si>
    <t>to see the policies and actions taken by Greece regarding irregular TCN</t>
  </si>
  <si>
    <t>Study of the Labour Market Integration
of Third-Country Nationals
in Germany in private companies</t>
  </si>
  <si>
    <t>German National Contact Point
for the European Migration Network (EMN), Federal Office for Migration and Refugees</t>
  </si>
  <si>
    <t xml:space="preserve">Research on good practices of private companies directed at the labour integration of third country nationals. </t>
  </si>
  <si>
    <t>institutional data; interviews and focus groups with employers</t>
  </si>
  <si>
    <t>analysis, interviews, questionnaires</t>
  </si>
  <si>
    <t>Germany</t>
  </si>
  <si>
    <t>share of third country nationals in selected labour market policy measures; share of companies that have taken foreign employees or plan to do so in the future;</t>
  </si>
  <si>
    <t>type of market policy measure; type of economic sector of the companies</t>
  </si>
  <si>
    <t>Labour Market Integration
of Third-Country Nationals
in Germany</t>
  </si>
  <si>
    <t xml:space="preserve">Indicative of trends in expanding the number of foreign employees in private companies in Germany. </t>
  </si>
  <si>
    <t>institutional statistics</t>
  </si>
  <si>
    <t>Commissioner for Human Rights of the Council of Europe</t>
  </si>
  <si>
    <t>The report aims to encourage the overall social inclusion of the Roma community in Spain maintaining their identity and culture, but achieving higher levels of welfare and the respect of their human rights.</t>
  </si>
  <si>
    <t>focus groups and individual interviews</t>
  </si>
  <si>
    <t>Collection of data on the socio-economic position of marginalised Roma in the Western Balkans CEU countries Albania, Bosnia and Herzegovina, the former Yugoslavia Republic of Macedonia, Montenegro, Serbia and Kosovo</t>
  </si>
  <si>
    <t>educational status, employment, quality of work, perception of gender roles, degree of urbanisation, residential segregation, household conditions</t>
  </si>
  <si>
    <t>This analysis addresses the gender perspectives of health in terms of scope, type and quality of health services received by Macedonian Roma men and women, with special focus on health services provided by registered general practitioners, emergency medical services, and out-patient and in-patient health care.</t>
  </si>
  <si>
    <t>Collection of incidents from different sources (police data, media and NGO reports...)</t>
  </si>
  <si>
    <t>Incidents occurred in Italy, Bulgaria, Czech Republic, Greece, Romania, Russian Federation, Serbia, Slovakia, Slovenia, Ukraine, United Kingdom</t>
  </si>
  <si>
    <t>Victims of traffic in Bulgaria</t>
  </si>
  <si>
    <t>victims of human trafficking, sexual exploitation, labour exploitation, trafficking of new-borns...</t>
  </si>
  <si>
    <t>Report on trafficking in children in the State Parties to the Convention on Action against Trafficking in Human Beings</t>
  </si>
  <si>
    <t>Identified child victims of trafficking</t>
  </si>
  <si>
    <t>This General Report covers the activities of GRETA from 1 January to 31 December 2017. It stresses the critical implementation of the Convention by its parties and the particular concern that has to be put on women and children victims of trafficking, for their special vulnerability.</t>
  </si>
  <si>
    <t>List of issues submitted by the ERRC to the Committee on the Rights of the Child regarding the situation of Roma people in Romania</t>
  </si>
  <si>
    <t>Research on the social norms which prevent Roma girls from access to education</t>
  </si>
  <si>
    <t>to summarise the European data in order to raise awareness and persuade the European States and its international organizations to take action and resolve their urgent needs</t>
  </si>
  <si>
    <t xml:space="preserve">UNHCR/UNRWA refugees, internally displaced people, asylum-seekers, unaccompanied/separated children, returnees </t>
  </si>
  <si>
    <t>Asylum quarterly report</t>
  </si>
  <si>
    <t>a collection of countries with low human rights protection scores</t>
  </si>
  <si>
    <t>The data describes a decrease in the arrivals of migrants and asylum seekers to pre-2015 levels, even if the often- opportunistic hard-line approach of anti-immigrant European Union governments, including those of Italy, Hungary, and Austria, dominated the migration debate throughout the year.</t>
  </si>
  <si>
    <t>levels of information about immigration and integration matters, knowledge about the magnitude of immigration, personal experiences towards immigrants, personal ties with them, general perception about their impact, potential obstacles to integration, roles and responsibilities of actors (governments, media...)</t>
  </si>
  <si>
    <t>monitoring of the situation of migrants and the outcome of integration policies across the EU</t>
  </si>
  <si>
    <t>country of destination/origin, first/second applicants</t>
  </si>
  <si>
    <t>World Bank</t>
  </si>
  <si>
    <t>country of origin/destination, age, gender</t>
  </si>
  <si>
    <t>reports, academic literature, internet resources and reports and information from national authorities,  statistics from Eurostat, national authorities and other (national) databases</t>
  </si>
  <si>
    <t>statelessness, asylum-seekers, refugees, returnees, access to education, resettlement, economic inclusion...</t>
  </si>
  <si>
    <t>level of proximity to cases of domestic violence, perception of it by society, attitudes towards it, causes of violence, knowledge of the laws on it</t>
  </si>
  <si>
    <t>This FRA survey is the first of its kind on violence against women across the 28 Member States of the European Union. Women were asked  about their experiences of physical, sexual and psychological violence, including incidents of intimate partner violence</t>
  </si>
  <si>
    <t xml:space="preserve">women subjected to physical, sexual, psychological, economical violence, their relationship with the perpetrator, frequency, women subjected to genital mutilation, femicide, forced marriage, trafficking of women </t>
  </si>
  <si>
    <t>The report serves as a benchmark for the six Western Balkans accession countries regarding women’s rights and influence, for comparisons over time. This is the third edition of the report, focused on three areas: women in politics, gender based violence and the situation for women human rights defenders.</t>
  </si>
  <si>
    <t>to strengthen women’s rights and women’s equal participation in decision-making in the Western Balkans, with the specific objective of gendering the EU accession.</t>
  </si>
  <si>
    <t>3,443 households - women aged 18 to 74 y.o.; random sampling in 12 prefectures; sample not equally distribute</t>
  </si>
  <si>
    <t xml:space="preserve">The report is progressively leaving behind a focus exclusively centred on homophobia and sexual orientation, and is covering broader issues related to gender identity, gender expression and sex characteristics. </t>
  </si>
  <si>
    <t>Pew Research Centre</t>
  </si>
  <si>
    <t>Data collection on the acceptance/rejection of homosexuality globally and on the influence that religion, age and gender has on this issues</t>
  </si>
  <si>
    <t>first phase focused on desk-research of legal nature data, second phase focused on comparative analysis of data of sociological nature, including semi-structured qualitative interviews</t>
  </si>
  <si>
    <t xml:space="preserve">social attitudes towards homosexuals and transgender, national, religion and traditional values, occultation in public and private life, political and legal changes, anti-LGTB discourse in the media </t>
  </si>
  <si>
    <t>attitudes towards LGTBI population, hate speech and crime, employment, education, health, religious institutions, sports, media, asylum</t>
  </si>
  <si>
    <t>ethnic differences, social experiences, level of acceptance, level of support, personal well-being assessment, assessment of social needs, representation in popular culture, etc.</t>
  </si>
  <si>
    <t>Indicative of specific experiences of UK respondents in different public spheres. Engages with marginalised problematics such as conversion therapy.</t>
  </si>
  <si>
    <t>From this survey the FRA could develop its policy-relevant advice to inform the development of legal and policy responses at EU and national levels, ensuring that the fundamental rights of LGBT people are effectively respected, protected and fulfilled</t>
  </si>
  <si>
    <t>Table 7: International/foreign data collection efforts/instruments - third-country nationals</t>
  </si>
  <si>
    <t>Report by the NGO SOS Children's Villages International about the location of the world's most vulnerable children</t>
  </si>
  <si>
    <t>country and continent of origin</t>
  </si>
  <si>
    <t>poverty, poor health, education, violence, political and economic factors, socio-cultural factors</t>
  </si>
  <si>
    <t>literature review, own institution's database</t>
  </si>
  <si>
    <t>Overview of the life situations and locations of the world’s most vulnerable children</t>
  </si>
  <si>
    <t>SOS Children's Villages International</t>
  </si>
  <si>
    <t>2015</t>
  </si>
  <si>
    <t>CHILD AT RISK The world’s most vulnerable children: who they are, where they live, and what puts them at risk</t>
  </si>
  <si>
    <t>Levels of learning achievement are low in some countries and the learning needs of young people and adults suffer from neglect.  The report finds out that. while Central and Eastern Europe has stepped up its investment in education, the share of national income invested in education in Central Asia has declined to the lowest level in the world.</t>
  </si>
  <si>
    <t>early childhood care and education, primary education, youth and adult learning, adult literacy, gender equality, quality education</t>
  </si>
  <si>
    <t>Central and Eastern Europe and Central Asia countries</t>
  </si>
  <si>
    <t>EFA Reports</t>
  </si>
  <si>
    <t>The Report documents the scale of this hidden crisis in education, looks at its underlying causes and explores the links between armed conflict and education. It also presents recommendations to address failures that contribute to the hidden crisis</t>
  </si>
  <si>
    <t>UNESCO</t>
  </si>
  <si>
    <t>Regional overview: Central and Eastern Europe and Central Asia; The Hidden crisis: armed conflict and education</t>
  </si>
  <si>
    <t>Specific objectives of the review are to describe the spectrum of current issues regarding the main ECD dimensions and determinants, such as health, nutrition, early education and parenting practices, to provide an overview of the current policies and programmes having impact on ECD, to provide an overview of internal and external positive and negative factors affecting the development of this policies and to identify key actions to promote ECD with particular emphasis on the health sector.</t>
  </si>
  <si>
    <t>age, country of residence</t>
  </si>
  <si>
    <t>child poverty, infant and young child nutrition, access to day‐care, parenting practices and psychosocial well‐ being</t>
  </si>
  <si>
    <t>Armenia, England, Italy, Kazakhstan and Republic of Moldova</t>
  </si>
  <si>
    <t>qualitative questionnaires and structured interviews</t>
  </si>
  <si>
    <t>This review of ECD status and policies in a representative sample of countries of European Region has been commissioned by WHO Regional office for Europe with the purpose of informing the ongoing process of implementation of the Child and Adolescent Health Strategy.</t>
  </si>
  <si>
    <t>WHO</t>
  </si>
  <si>
    <t>Early Child Development in the European Region: needs, trends and policy development</t>
  </si>
  <si>
    <t>Research on the social norms which prevent Roma girls from access to eduaction</t>
  </si>
  <si>
    <t>Indentified child victims of trafficking</t>
  </si>
  <si>
    <t>Report on trafficking in children in the State Parties to the Convention on Action againstTrafficking in Human Beings</t>
  </si>
  <si>
    <t>It aims to provide insights into what constitutes high quality early childhood education and care through internationally comparable indicators.</t>
  </si>
  <si>
    <t>country of residence</t>
  </si>
  <si>
    <t>structures and access to education, teching processes, support measures for disadvantaged children</t>
  </si>
  <si>
    <t>32 countries and 37 educational systems</t>
  </si>
  <si>
    <t>statistics</t>
  </si>
  <si>
    <t>The document contributes to informing policy efforts on early childhood education and care by combining statistical data and qualitative information to describe the structure, organisation and funding of early childhood education and care systems.</t>
  </si>
  <si>
    <t>Eurydice and Eurostat Report</t>
  </si>
  <si>
    <t>Key Data on Early Education and Care in Europe, 2014 edition</t>
  </si>
  <si>
    <t>The multiple dimensions of youth exclusion are captured by this comprehensive report which argues compellingly for an integrated youth policy in SEE. The study links the needs for education (formal and non-formal) with employment, and demonstrates how unemployment, exclusion and marginalization contribute to risky behaviors</t>
  </si>
  <si>
    <t>gender, education, location, Roma youth, and youth with disabilities, country of residence</t>
  </si>
  <si>
    <t>education appropriate to the job market (formal and non-formal), employment, childcare and development, preventive health practices, youth-friendly services (particularly mental health and rehabilitation services), leisure time activities and participation in decision-making</t>
  </si>
  <si>
    <t>Albania, Bosnia-Herzegovina, Bulgaria, Croatia, Kosovo, the former Yugoslav Republic (FYR) of Macedonia, Moldova, Romania, and Serbia and Montenegro</t>
  </si>
  <si>
    <t xml:space="preserve"> research</t>
  </si>
  <si>
    <t xml:space="preserve">This study explores the challenges faced by young
people, and outlines priority policy options to address these challenges, with full recognition of the constraints faced
by SEE countries. </t>
  </si>
  <si>
    <t>2006</t>
  </si>
  <si>
    <t>Young People in South Eastern Europe: from risk to empowerement</t>
  </si>
  <si>
    <t>HBSC focuses on a wide range of measures that affect young people’s health and well-being. Previous reports from the study have highlighted gender, age, geographic and family affluence factors. This fifth international report focuses on social determinants of health and provides a full description of the health and well-being of young people growing up in different countries across Europe and North America</t>
  </si>
  <si>
    <t>age, gender, country of residence</t>
  </si>
  <si>
    <t>health, education, occupation, social engagement, discovery and fulfilment</t>
  </si>
  <si>
    <t>data collection made by every participating country</t>
  </si>
  <si>
    <t>The Health Behaviour of School-aged Children (HBSC) study provides key insights into the health-related behaviours of young people. Its unique methodology has facilitated engagement with hundreds of thousands of young people in many parts of the world, building a data base over time that describes patterns and issues relevant to their health and well-being.</t>
  </si>
  <si>
    <t>Social determinants of health and well-being among young people. Health behaviour in school-aged children study: International report from the 2009/2010 survey</t>
  </si>
  <si>
    <t>The fact sheets analyse risks to early childhood development, finding out that they remain high even in developed countries because of issues of social inequality, poverty, neglect and lack of developmental stimulation and opportunities</t>
  </si>
  <si>
    <t>health and well-being, quality education, gender equality, inequalities, peace and access to justice institutions</t>
  </si>
  <si>
    <t>37 Member States of the WHO in Europe</t>
  </si>
  <si>
    <t>The facts sheets on the SDG health targets present key facts and figures, ongoing commitments, guidance on action, and indicators to monitor progress – in the context of the WHO European Region.</t>
  </si>
  <si>
    <t xml:space="preserve">Fact sheet on SDGs - Child and Adolescent Health </t>
  </si>
  <si>
    <t>The results reveal that overall school health services are largely available in Member States, and the organizational arrangements are such that make it possible, in principle, for a pupil to access SHS when there is a need.</t>
  </si>
  <si>
    <t>school health services governance, organizational aspects and service delivery models, staffing, content and main challenges</t>
  </si>
  <si>
    <t>questionnaires sent to the Government Chief Nurses and national focal points</t>
  </si>
  <si>
    <t>questionnaire</t>
  </si>
  <si>
    <t>This publication presents the results of the survey on school health services (SHS) organization in the WHO European Region.</t>
  </si>
  <si>
    <t>Pairing Children with Health Services The results of a survey on school health services in the WHO European Region</t>
  </si>
  <si>
    <t>This edition of UNICEF’s report on requirements for humanitarian action highlights major emergencies affecting children and families around the world, and the results achieved by UNICEF and partners in response to those crises.</t>
  </si>
  <si>
    <t>nutrition, health, access to safe water, child protection, education, cash assistance, providing of non-food items</t>
  </si>
  <si>
    <t>73 million people assisted in 53 countries</t>
  </si>
  <si>
    <t>Humanitarian Action for Children 2019 underscores the urgency of protecting children in crisis from all such threats to their lives, well-being and dignity</t>
  </si>
  <si>
    <t>UNICEF Humanitarian Action for Children 2019 Overview</t>
  </si>
  <si>
    <t>TABLE 2: International/foreign data collection efforts/instruments - children at risk</t>
  </si>
  <si>
    <t>UNICEFs own data on funding and beneficiaries</t>
  </si>
  <si>
    <t>Study on the feasibility of a child guarantee for vulnerable children</t>
  </si>
  <si>
    <t>European Commission, DG Employment, Social Affairs and Inclusion</t>
  </si>
  <si>
    <t xml:space="preserve">The report provides a mapping of the situation across the 28 Member States in relation to children, particularly four groups of disadvantaged children: children residing in institutions, children with disabilities or other special needs, children of recent migrants and refugees, and children in precarious family situation. The report also explores these children's access to five spcific policy areas: housing, healthcare, nutrition, early childhood education and care, and education. </t>
  </si>
  <si>
    <t>For each of the four groups, the report gives a definition followed by an assessment of its size based on available evidence (data). The report also offers indicators for the whole population of children and for the groups identifiable in EU-SILC: low-income/socio-economic status children; children living in single-adult households; children living with at least one parent not born in the EU; and children severely limited or limited but not severely in their daily activities.</t>
  </si>
  <si>
    <t>This study inquires into how the reported numbers and rates of children with disabilities have changed during the transition period, and considers a range of issues – including health, education and protection – crucial to child well-being and child rights.</t>
  </si>
  <si>
    <t>kind of illness, country of residence, kind of needs</t>
  </si>
  <si>
    <t>family care, institutional care, health and welfare services, education, recreation and leisure</t>
  </si>
  <si>
    <t>27 EU countries</t>
  </si>
  <si>
    <t>face-to-face interviews, qualitative survey</t>
  </si>
  <si>
    <t>research, national statistics, interviews, survey</t>
  </si>
  <si>
    <t>This Innocenti Insight looks at how children with disabilities and their families have fared in the rapidly changing environment of this region since transition in the early 1980’s.</t>
  </si>
  <si>
    <t>2005</t>
  </si>
  <si>
    <t>Children and disability in transition in CEE/CIS and Baltic States</t>
  </si>
  <si>
    <t>It brings to light the situation of two groups of individuals who have long suffered discrimination and social exclusion and whose fundamental rights situation demands urgent action.</t>
  </si>
  <si>
    <t>nationality, age, gender</t>
  </si>
  <si>
    <t>daily living, participation in the community, barriers to inclusion, support for daily living</t>
  </si>
  <si>
    <t>105 people from 9 countries</t>
  </si>
  <si>
    <t>personal and focus group interviews</t>
  </si>
  <si>
    <t>The report points to the need for a discussion of what making choice and control a reality for persons with disabilities will mean for EU Member States and provides some evidence on which to base such a discussion.</t>
  </si>
  <si>
    <t>Choice and control: the right to independent living. Experiences of persons with intellectual disabilities and persons with mental health problems in nine EU Member States</t>
  </si>
  <si>
    <t>To assess the progress being made across Europe to respect, protect and ensure the rights of persons with disabilities to live independently and to be included in the community.</t>
  </si>
  <si>
    <t>coefficient of disabled people living independently, owning their own house, havinga adaptations on their house, who have access to public buildings in their neighbourhood...</t>
  </si>
  <si>
    <t>studies in 35 European states</t>
  </si>
  <si>
    <t>data collected by governments</t>
  </si>
  <si>
    <t>This ANED thematic report is about the progress being made across Europe to respect, protect and ensure the rights of persons with disabilities to live independently and to be included in the community. It is based upon studies that were carried out in early 2019 by ANED country experts in 35 European States.</t>
  </si>
  <si>
    <t>The Academic Network of European Disability Experts (ANED)</t>
  </si>
  <si>
    <t>The right to live independently and to be included in the community in the European States: ANED synthesis report</t>
  </si>
  <si>
    <t>It describes the implementation of the Strategy and lists some of the main achievements in each of the areas. It also looks at the role of the supporting instruments and at the implementation of the UNCRPD within the EU institutions. Finally, it looks ahead at how the Strategy will continue to deliver on its objectives, taking into account the UN Concluding Observations.</t>
  </si>
  <si>
    <t>sex, disability, age</t>
  </si>
  <si>
    <t>Accessibility, participation, equality, employment, education and training, social protection, health, external action</t>
  </si>
  <si>
    <t>public consultation, surveys, database from different international organizations</t>
  </si>
  <si>
    <t>This report is the opportunity to present the progress achieved in the first five years of the European Disability Strategy and to assess its coherent and efficient implementation.</t>
  </si>
  <si>
    <t>Progress Report on the implementation of the European Disability Strategy (2010 - 2020)</t>
  </si>
  <si>
    <t>To advance a common understanding of how to approach the employment of persons with disabilities in a way that respects social justice, human rights and decent work as a key element of more inclusive economies and societies.</t>
  </si>
  <si>
    <t>disability, economical sector</t>
  </si>
  <si>
    <t>Employed disabled people and their sector (private, public, enterpeneurship)</t>
  </si>
  <si>
    <t>statistics, surveys</t>
  </si>
  <si>
    <t>The contribution focusses on one particular group of people with disabilities, namely those who may have been born with disabilities or may have developed some during their lives, but either way have remaining work capacities and are at working age.</t>
  </si>
  <si>
    <t>ILO and OECD</t>
  </si>
  <si>
    <t>Labour market inclusion of people with disabilities</t>
  </si>
  <si>
    <t>source of material for developing statistical guidelines on this topic. It may also serve as a quick-reference guide providing examples of practices for countries wanting to establish their own data collection on labour force characteristics of persons with disabilities.</t>
  </si>
  <si>
    <t>disability type/degree</t>
  </si>
  <si>
    <t>Disabilities, population groups, economic activities, sectors covered, labour force status, status in employment, geographic areas</t>
  </si>
  <si>
    <t>36 surveys answered</t>
  </si>
  <si>
    <t>questionnaires and data from websites of the
National Statistical Offices or other government agencies</t>
  </si>
  <si>
    <t>This compendium provides an overview of the main characteristics of various approached used by the countries in addressing disability in national census and surveys and describes the methodologies currently in use in 114 countries to compile statistics on the labour force characteristics of the people with disabilities.</t>
  </si>
  <si>
    <t>ILO</t>
  </si>
  <si>
    <t>Statistics on the labour force characteristics of people with disabilities: A Compendium of national methodologies</t>
  </si>
  <si>
    <t>Limited</t>
  </si>
  <si>
    <t>age, sex, disability status</t>
  </si>
  <si>
    <t>employment, unemployment, school enrolment</t>
  </si>
  <si>
    <t>from 2000 to 9000 surveys in each of the more than 30 countries analyzed</t>
  </si>
  <si>
    <t>surveys</t>
  </si>
  <si>
    <t>The SWTS is a unique survey instrument that generates relevant labour market information on young people aged 15 to 29 years, including longitudinal information on transitions within the labour market.</t>
  </si>
  <si>
    <t>Work4Youth Project (by ILO and The MasterCard Foundation)</t>
  </si>
  <si>
    <t>School-to-work transition survey (SWTS) microdata files</t>
  </si>
  <si>
    <t>The study aims to provide guidance to States on how to guarantee the right to liberty and security of persons with disabilities, paying particular attention to the process of ending deprivation of liberty based on impairment.</t>
  </si>
  <si>
    <t>age, disability status</t>
  </si>
  <si>
    <t>coercion in mental health, access to justice, community support, participation, capacity-building, awareness-raising, resource mobilization</t>
  </si>
  <si>
    <t>40 questionnaires</t>
  </si>
  <si>
    <t>questionnaire sent to Member States, national human rights institutions and civil society organizations</t>
  </si>
  <si>
    <t>In her report, the Special Rapporteur on the rights of persons with disabilities provides an overview of the activities undertaken in 2018 and a thematic study on disability-specific forms of deprivation of liberty, in the light of the standards set forth in the Convention on the Rights of Persons with Disabilities.</t>
  </si>
  <si>
    <t>United Nations - Secretary General</t>
  </si>
  <si>
    <t>Report of the Special Rapporteur on the rights of persons with disabilities - Theme: right to liberty and security</t>
  </si>
  <si>
    <t>It underscores the various challenges faced by older persons with disabilities in the enjoyment of their human rights and fundamental freedoms on an equal basis with others, and provides guidance to States on how to implement their existing obligations towards older persons with disabilities in a rights-based manner, paying particular attention to the intersection between ageing and disability.</t>
  </si>
  <si>
    <t>social protection, palliative care, access to justice, stereotypes, violence and abuse, community-based support, participation, autonomy...</t>
  </si>
  <si>
    <t>96 questionnaires</t>
  </si>
  <si>
    <t>In the report, the Special Rapporteur on the rights of persons with disabilities examines the situation of older disabled persons, and provides guidance to States on how to promote, protect and ensure their human rights, paying particular attention to the intersection between ageing and disability</t>
  </si>
  <si>
    <t>Report of the Special Rapporteur on the rights of persons with disabilities - Theme: older persons with disabilities</t>
  </si>
  <si>
    <t>The report shows that despite the progress made in recent years, persons with disabilities continue to face numerous barriers to their full inclusion and participation in the life of their communities. It sheds light on their disproportionate levels of poverty, their lack of access to education, health services, employment, their under-representation in decision-making and political participation</t>
  </si>
  <si>
    <t>sex, age, disability status</t>
  </si>
  <si>
    <t>coefficient of disabled people, levels of poverty and hunger, health status, access to health services, access to reproductive and sexual health services, access to education, gender equality, availability of water and sanitation, access to energy, decent employment, access to ICT, legal inequality</t>
  </si>
  <si>
    <t>data from over 100 countries</t>
  </si>
  <si>
    <t>Major databases of disability statistics from international agencies and other organizations</t>
  </si>
  <si>
    <t>The report reviews data, policies and programmes and identifies good practices; and uses the evidence it reviewed to outline recommended actions to promote the realization of the SDGs for persons with disabilities</t>
  </si>
  <si>
    <t>United Nations - Department of Economic and Social Affairs</t>
  </si>
  <si>
    <t>UN Flagship Report on Disability and Development 2018</t>
  </si>
  <si>
    <t>To provide governments and civil society with a comprehensive description of the importance of disability and an analysis of the responses provided, based on the best available scientific information and to make recommendations for action at national
and international levels.</t>
  </si>
  <si>
    <t xml:space="preserve"> Public</t>
  </si>
  <si>
    <t>sex, age, income, occupation, level of disability</t>
  </si>
  <si>
    <t>percentage of disabled people,  impairments,
activity limitations, participation restrictions, related health conditions,
environmental factors</t>
  </si>
  <si>
    <t>national data (census, surveys, administrative data registers), international data, other studies</t>
  </si>
  <si>
    <t>The report provides the best available evidence about what works to overcome barriers to health care, rehabilitation, education, employment, and support services, and to create the environments which will enable people with disabilities to flourish.</t>
  </si>
  <si>
    <t>World Health Organization (WHO) and The World Bank</t>
  </si>
  <si>
    <t>World Report on Disability</t>
  </si>
  <si>
    <t>TABLE 3: International/foreign data collection efforts/instruments - people with disabilities</t>
  </si>
  <si>
    <t>WHO Global Health Observatory data</t>
  </si>
  <si>
    <t>Survey on the transition from students to workers of disabled people, in order to effectively include people with disabilities in the efforts of ILO policies to progress in order to achieve the Sustainable Development Goals.</t>
  </si>
  <si>
    <t>Еuropean Union Agency for Fundamental Rights (FRA)</t>
  </si>
  <si>
    <t>From institutions to community living: Development of statistical outcome indicators</t>
  </si>
  <si>
    <t>Taken together, the 12 statistical outcome indicators measure a wide range of relevant outcomes in terms of independence and inclusion for persons with disabilities living in the community, and the extent to which these are equal to those of other persons. They are highly relevant to policymakers and rights monitors in establishing the extent of unequal outcomes and potential areas of policy intervention.</t>
  </si>
  <si>
    <t>gender, age, educational level, economic status, poverty risk, degree of disability, degree of urbanisation</t>
  </si>
  <si>
    <t>This background report presents a framework of statistical outcome indicators concerning the rights established in Article 19 of the United Nations (UN) Convention on the Rights of Persons with Disabilities (CRPD). Article 19 sets out the right of persons with disabilities to live independently and be included in the community. The EU and its 28 Member States have ratified the CRPD and are bound by the standards it elaborates. The indicators presented in this report aim to assist in monitoring the extent to which EU Member States fulfil their obligations under Article 19 of the convention.</t>
  </si>
  <si>
    <t>ЕU 28</t>
  </si>
  <si>
    <t xml:space="preserve">free decision-making, decision-making on personal expenses, social exclusion, discussion of personal matters, contact with people outside the household, living arrangements, accommodation satisfaction, available help outside the household, formal help, help with daily living, access to community services, access to online services </t>
  </si>
  <si>
    <t>based on available survey data</t>
  </si>
  <si>
    <t>The right to independent living of persons with disabilities</t>
  </si>
  <si>
    <t>2014-2018</t>
  </si>
  <si>
    <t>The project looks at the right of people with disabilities to live independently and to be included in the community as set out in Article 19 of the United Nations Convention on the Rights of Persons with Disabilities (link is external) (CRPD). Its objective is to provide evidence-based assistance and expertise to EU institutions and Member States on how to fulfil this right. It specifically focuses on the process of deinstitutionalisation.</t>
  </si>
  <si>
    <t>face-to-face interviews, focus groups</t>
  </si>
  <si>
    <t>Bulgaria, Finland, Ireland, Italy and Slovakia</t>
  </si>
  <si>
    <t>equality and non-discrimination, autonomy and liberty, legal capacity and freedom of movement</t>
  </si>
  <si>
    <t>fieldwork research</t>
  </si>
  <si>
    <t>The project examines the situation on the ground by conducting qualitative fieldwork in five EU Member States (Bulgaria, Finland, Ireland, Italy and Slovakia) at different stages of the deinstitutionalisation process. This helps to identify and better understand the drivers of and barriers to the transition from institutional to community-based support.</t>
  </si>
  <si>
    <t>The findings showed that, under the objective expenditure-based method, 58% of Greek households are energy poor. Among households under the poverty threshold, the energy poverty rate exceeds 90%</t>
  </si>
  <si>
    <t>data research</t>
  </si>
  <si>
    <t>A comprehensive research in the field of energy poverty is undertaken in this paper, in an attempt to highlight the great vulnerability of Greek households on energy poverty, in the middle of a severe economic crisis.</t>
  </si>
  <si>
    <t>Energy Policy</t>
  </si>
  <si>
    <t>Measuring energy poverty in Greece</t>
  </si>
  <si>
    <t>Romania performs worse than the EU average on the household-reported indicators. 11.3% of households were unable to keep the home adequately warm in 2017, and 15.9% were in arrears on utility bills.</t>
  </si>
  <si>
    <t>home owners/private tenants/social housing, EU/Romania</t>
  </si>
  <si>
    <t>inability to keep home warm, arrears on utility bills, high/low share of energy expenditure income</t>
  </si>
  <si>
    <t>Romania</t>
  </si>
  <si>
    <t>EPOV data</t>
  </si>
  <si>
    <t>Overview of the energy poverty situation in Romania at a glance. With key indicators, policies, and publications, it offers an understanding of the key aspects of energy poverty in Romania.</t>
  </si>
  <si>
    <t>EPOV</t>
  </si>
  <si>
    <t>Romania Member State Report of the EU Energy Poverty Observatory (EPOV)</t>
  </si>
  <si>
    <t xml:space="preserve">The paper propposes an indicator that would give an universal measure of
EP, enabling cross-country comparisons and increasing cohesion. It also makes clear that custom abatement policies are necessary in order to effectively address the existing regionally specific causal factors. </t>
  </si>
  <si>
    <t>country, post-communist country/not, Eastern/Southern Europe</t>
  </si>
  <si>
    <t>severe deprivation, risk of poverty and exclusion, percentage of owners, type of dwelling, heating systems efficiency...</t>
  </si>
  <si>
    <t>Southern and Eastern Europe</t>
  </si>
  <si>
    <t>The paper builds upon a set of newly proposed econometric methods for the trans-national measurement of energy poverty and for the study of its determining factors – the Compound Energy Poverty Indicator.</t>
  </si>
  <si>
    <t>European Journal of Sustainable Development</t>
  </si>
  <si>
    <t>Energy Poverty in Southern and Eastern Europe: Peculiar Regional Issues</t>
  </si>
  <si>
    <t>energy security, energy equity, environmental sustainability, population with debt for utilities, population at risk of poverty, total final energy consumption, import dependence, consumption per capita...</t>
  </si>
  <si>
    <t>Western Balkans</t>
  </si>
  <si>
    <t>external statistics and rankings</t>
  </si>
  <si>
    <t>Gathering of data regarding energy poverty in South Eastern Europe</t>
  </si>
  <si>
    <t>Institute of Energy for South-East Europe</t>
  </si>
  <si>
    <t>Energy Poverty in the Western Balkans. The balancing factor between Affordability and Environmental Sustainability</t>
  </si>
  <si>
    <t>This report aims to empower CSOs and citizens to better influence policy and practice towards a fairer, cleaner and safer energy future in SEE.</t>
  </si>
  <si>
    <t>energy use per capita, electicity use per household, unemployment rate, electricity price for domestic users, heating source, building type, household members, mould visible, draft through windows and doors...</t>
  </si>
  <si>
    <t>Albania, Bosnia and Herzegovina, Croatia, Kosovo, Macedonia, Montenegro and Serbia</t>
  </si>
  <si>
    <t>national data, Eutostat statistics</t>
  </si>
  <si>
    <t>Energy is perhaps one of the most complex issues which is facing the region, involving challenges for several areas (society, economy, environment). This report wants to tackle these challenges, highlighting for governments the extent of the problem and the suffering caused</t>
  </si>
  <si>
    <t>South East Europe Sustainable Energy Policy Programme</t>
  </si>
  <si>
    <t>Energy Poverty in South East Europe: Surviving the Cold</t>
  </si>
  <si>
    <t>After finding out that electricity and fuel poverty is a huge problem in the Balkans, the presentation concludes saying that replacing the stove is an efficient way to save in heating bills that should be promoted</t>
  </si>
  <si>
    <t>overall household expenditure, square meter of heated space per household, rate of mortality, rate of households that can afford heating, households with central heating, use of solid fuels or woods for heating</t>
  </si>
  <si>
    <t>Presentation used in the Forum about Energy poverty and Sustainability in the Western Balkans, held in Viena in June 2018</t>
  </si>
  <si>
    <t>RES Foundation</t>
  </si>
  <si>
    <t>Energy poverty in the Western Balkans Sustainability Forum</t>
  </si>
  <si>
    <t xml:space="preserve">The report defines the three main components that lead to energy poverty: low household income, growing energy prices and inefficient energy performance of buildings </t>
  </si>
  <si>
    <t>energy expenditure in income, inability to keep home adequately warm, arrears on utility bills, hidden energy poverty</t>
  </si>
  <si>
    <t>A network of 24 national European energy management agencies gathers information and experience from all backgrounds. In this case, it focused on Energy Poverty: its causes, policies addressing it, activities...</t>
  </si>
  <si>
    <t>European Energy Network</t>
  </si>
  <si>
    <t>EnR Position Paper on Energy Poverty in the European Union</t>
  </si>
  <si>
    <t xml:space="preserve">The project measures the energy and water expenditure rates of households, combining it with their size and number of people living in them.  </t>
  </si>
  <si>
    <t>electricity, heating and water cost and saving after the project</t>
  </si>
  <si>
    <t>1,564 households in Slovenia, Croatia, Bulgaria and Macedonia</t>
  </si>
  <si>
    <t>energy audits, interviews, data collection</t>
  </si>
  <si>
    <t>Reduce Energy and Change Habits (REACH)</t>
  </si>
  <si>
    <t>Fighting energy poverty: achievements and lessons of project REACH</t>
  </si>
  <si>
    <t>The report demonstrates that a range of energy access interventions is needed to achieve SDG7, and encourages holistic programmes that achieve scale across elements of demand, supply, policy and finance.</t>
  </si>
  <si>
    <t>population density, road density, electricity connections, capacity building (women), gender targeting and empowerment activities, female-headed households benefiting, capacity building (poorest people), poorest people targeting and activities, poorest households benefiting</t>
  </si>
  <si>
    <t>Ghana, Kenya, Nepal, South Africa, India, Peru</t>
  </si>
  <si>
    <t>case studies</t>
  </si>
  <si>
    <t>interviews, national and international data research</t>
  </si>
  <si>
    <t>The report examines six case study programmes across the clean cooking, decentralized electricity and grid extension sectors, to explore how to reach energy access at scale in an inclusive way - thinking particularly about women, the poorest and most remote communities</t>
  </si>
  <si>
    <t>Practical Action</t>
  </si>
  <si>
    <t>Poor People's Energy Outlook 2018: Achieving Inclusive Energy Access At Scale</t>
  </si>
  <si>
    <t xml:space="preserve">The report highlights the quite distinctive ways in which Member States have both recognised and chosen to address the issues
of vulnerable consumers and energy poverty. </t>
  </si>
  <si>
    <t>Energy Poverty rate, energy consumption per household by fuel, liberalisation of energy sector, policy measures to protect vulnerable consumers, vulnerable consumers rate, ability to switch tariffs</t>
  </si>
  <si>
    <t>Report assessing energy poverty across the EU, that also contains individualized data for every country</t>
  </si>
  <si>
    <t>INSIGHT_E (Energy think tank informing the European Commission)</t>
  </si>
  <si>
    <t>Energy poverty and vulnerable consumers in the energy sector across the EU: analysis of policies and measures</t>
  </si>
  <si>
    <t>these indicators should be used to give a snapshot of energy poverty issues, which can then be explored in more detail in research and action projects.</t>
  </si>
  <si>
    <t xml:space="preserve">arrears on utility bills, low absolute energy expenditure, inability to keep home warm/cool, fuel oil prices, district heating prices, household electricity prices, coal prices, gas prices, number of rooms per person, dwelling in densely populated areas </t>
  </si>
  <si>
    <t>The site gives a suite of indicators, which should be viewed and used in combination. Each indicator captures a slightly different aspect of the phenomenon.</t>
  </si>
  <si>
    <t>EU Energy Poverty Observatory data</t>
  </si>
  <si>
    <t>TABLE 11: International/foreign data collection efforts/instruments - energy-poor persons</t>
  </si>
  <si>
    <t>statistics, survey data</t>
  </si>
  <si>
    <t>Indicators and Data</t>
  </si>
  <si>
    <t xml:space="preserve">REACH aims at empowering energy-poor households in Bulgaria, Croatia, Macedonia and Slovenia to save energy and water, while at the same time establishing energy poverty
as an issue that demands tailor-made structural measures. </t>
  </si>
  <si>
    <t>Project publications</t>
  </si>
  <si>
    <t>not defined</t>
  </si>
  <si>
    <t>The study finds out that three Balkan countries (Greece, Serbia and Bulgaria) have over 30% of the total population having problems with regular payment of utility bills.</t>
  </si>
  <si>
    <t>Different Member States have initiated various measures to prevent or tackle undeclared activities in the construction sector. These can be split into three categories: integrative, enforcement and promotional measures. This paper presents national examples from the first two categories.</t>
  </si>
  <si>
    <t>typology of undeclared work, measures to tackle, practical experience</t>
  </si>
  <si>
    <t>literature review, statistics</t>
  </si>
  <si>
    <t>Similar to other labour-intensive industries, there are a number of features which make construction more susceptible to UDW,  that is why the EPUW undertook this research.</t>
  </si>
  <si>
    <t>European Platform Undeclared Work</t>
  </si>
  <si>
    <t>Undeclared Work in the Construction Industry</t>
  </si>
  <si>
    <t>The report affirms that the transition to the formal economy is essential to achieve inclusive development and to realize decent work for all. It is therefore essential to improve working and living conditions, to promote sustainable small and medium enterprises and to achieve fair competition and fiscal consolidation at national level</t>
  </si>
  <si>
    <t>region, sector</t>
  </si>
  <si>
    <t>extent and nature of undeclared work, institutional framework, undeclared economy related to GDP, rates by region and sector...</t>
  </si>
  <si>
    <t>Eurobarometer statistics, desk-research</t>
  </si>
  <si>
    <t>The ILO, in close collaboration with the Greek Government and the social pa rtners, has formulated a project funded by the European Commission, on “Supporting the transition from informal to formal economy and addressing undeclared work in Greece”</t>
  </si>
  <si>
    <t>Diagnostic Report on Undeclared Work in Greece</t>
  </si>
  <si>
    <t>The paper establishes that for the reduction of undeclared activities, it is necessary to simplify the procedures for establishing small businesses, to stabilize the tax system, to ensure high tax morale and trust in society and towards institutions, and to decrease the state regulatory burden.</t>
  </si>
  <si>
    <t>informal work rates, unofficial economic activities</t>
  </si>
  <si>
    <t>South East Europe</t>
  </si>
  <si>
    <t>literature review</t>
  </si>
  <si>
    <t>This paper provides an overview on the informal work and unofficial economy in the services sector in the former socialist countries in South East Europe</t>
  </si>
  <si>
    <t>Zagreb International Review of Economics &amp; Business</t>
  </si>
  <si>
    <t>Characteristics of Undeclared Work in Service Sector in Countries of South East Europe</t>
  </si>
  <si>
    <t>This report provides pointers of potentially good practice policy measures that Member States might wish to further consider. An executive summary is also available - see Related content.</t>
  </si>
  <si>
    <t>country, EU region</t>
  </si>
  <si>
    <t>approaches used to tackle undeclared work, extent and nature of participation of employed, unemployed and non-employed in undeclared work, changing size of the undeclared economy as % of GDP,  size of the undeclared economy as % of GDP...</t>
  </si>
  <si>
    <t>The aim of this report is to provide an updated overview of the policy approaches and measures that have been implemented to tackle undeclared work since the beginning of the recession in 2008.</t>
  </si>
  <si>
    <t>Tackling undeclared work in 27 EU Member States and Norway: Approaches and measures since 2008</t>
  </si>
  <si>
    <t>Factsheets produced for each Member State to provide an overview of the state of play regarding efforts to address undeclared work, as part of preparations for the launch of the Platform Tackling Undeclared Work.</t>
  </si>
  <si>
    <t>characteristics of undeclared work, estimated scale, institutional framework, policy approach, challenges and barriers</t>
  </si>
  <si>
    <t>European Platform Undeclared Work data</t>
  </si>
  <si>
    <t>The Platform has produced factsheets summarising the characteristics of UDW across all 28 EU countries, and the institutions and policy responses currently used to address it.</t>
  </si>
  <si>
    <t>Undeclared Work in EU countries factsheets</t>
  </si>
  <si>
    <t>country, professional sector, EU region</t>
  </si>
  <si>
    <t>This report covers the Platform’s operations and achievements during its initial years.</t>
  </si>
  <si>
    <t>Key Results and Achievements of the EU Platform Tackling Undeclared Work 2017-2018</t>
  </si>
  <si>
    <t xml:space="preserve">It is difficult to obtain a clear picture of the size of the undeclared part of the EU economy, particularly the supply side. Therefore, these findings only provide a measure of the lower limits of undeclared work activities, and differences between countries may reflect social and legal norms as well as behavioural differences. </t>
  </si>
  <si>
    <t>26.563 respondents within the EU</t>
  </si>
  <si>
    <t>It is widely recognised that part of the population within the EU is engaged in undeclared work. The findings from the initial 2007 Eurobarometer survey supported this. This edition focuses on deterrance by improving detection and penalties, and on encouraging compliance by preventing people from taking up undeclared work</t>
  </si>
  <si>
    <t xml:space="preserve">Special Eurobarometer 2014 on Undeclared Work
in the European Union </t>
  </si>
  <si>
    <t xml:space="preserve">It mainly concentrates on the sociodemographic characteristics of those who are involved in undeclared work as well as on their motives and the personal relationship between purchasers and providers of undeclared work. </t>
  </si>
  <si>
    <t>between 500 and 1,500 interviews per country</t>
  </si>
  <si>
    <t xml:space="preserve">This edition of Eurobarometer aimed to fill existing gaps in knowledge about the extent and structure of undeclared work through
a direct survey of individuals. </t>
  </si>
  <si>
    <t>2007</t>
  </si>
  <si>
    <t xml:space="preserve">Special Eurobarometer 2007 on Undeclared Work
in the European Union </t>
  </si>
  <si>
    <t xml:space="preserve">Dr. Ioana Alexandra carried out an in-depth research to figure out who do EU citizens trust, not trust, and why? Under what circumstances is undeclared work deemed acceptable by citizens? Also, what are the main reasons given for participating in undeclared work? </t>
  </si>
  <si>
    <t>predicted probability of engaging in undeclared work of a ‘representative’ EU citizen, predicted probability of engaging in undeclared work of a ‘representative’ citizen
in Southeast Europe</t>
  </si>
  <si>
    <t>Short paper on the ways undeclared work can be tackled acorss the EU</t>
  </si>
  <si>
    <t>University of Sheffield</t>
  </si>
  <si>
    <t>Shadows: tackling undeclared work in the European Union</t>
  </si>
  <si>
    <t>The aim of the study is to provide an in-depth analysis of the feasibility and added value of creating an EU-level platform for cooperation between labour inspectorates and other relevant bodies to fight undeclared work, but it also provides some data on the phenomenon.</t>
  </si>
  <si>
    <t>EU Member States, EEA states, Switzerland</t>
  </si>
  <si>
    <t>Feasibility study on establishing a European platform for cooperation between labour inspectorates, and other relevent monitoring and enforecement bodies, to prevent and fight undeclared work</t>
  </si>
  <si>
    <t>REGIOPLAN Policy Research</t>
  </si>
  <si>
    <t>Joining up in the fight against undeclared work in Europe</t>
  </si>
  <si>
    <t>The conclusion of the report is that lower levels of undeclared work are found in Member States where there are higher levels of GDP per capita, more modernised systems of government, higher levels of trust in authorities and lower levels of corruption, where social transfers are effective at reducing poverty, there are higher levels of public expenditure on labour market interventions to protect vulnerable groups, and where there is greater equality, lower levels of long-term unemployment, and net in-migration rather than out-migration.</t>
  </si>
  <si>
    <t>country, family workers/employment relationship/self-employed</t>
  </si>
  <si>
    <t>undeclared work in the private sector as % of total GVA, undeclared work in the EU in terms of the labour input, undeclared work in the private sector in the EU, undeclared Work by type of employment, relationship between undeclared work and GDP per capita</t>
  </si>
  <si>
    <t>LIM</t>
  </si>
  <si>
    <t>European Labour Force surveys, enterprise and business surveys</t>
  </si>
  <si>
    <t>The Labour Input Method (LIM) is used in this report to measure the size of the undeclared economy, using macroeconomic data to measure, for each Member State, the discrepancy between the reported supply of labour inputs and demand side data on recorded labour demand</t>
  </si>
  <si>
    <t>An evaluation of the scale of undeclared work in the European Union and its structural determinants: estimates using the Labour Input Method</t>
  </si>
  <si>
    <t>TABLE 12: International/foreign data collection efforts/instruments - undeclared workers</t>
  </si>
  <si>
    <t>Study looking at
the youths’ socio-economic status, cultural consumption;
concerns and aspirations; education and the labour market;
values; spirituality; social and political involvement.</t>
  </si>
  <si>
    <t>age, gender, educational level, residential environment</t>
  </si>
  <si>
    <t>country's directions and problems, social class, family and habitation, education, labour market, religion, discrimination, civic and political involvement</t>
  </si>
  <si>
    <t>1302 respondents aged between 15 and 29 years</t>
  </si>
  <si>
    <t>face-to-face interviews</t>
  </si>
  <si>
    <t>surveys, focus groups</t>
  </si>
  <si>
    <t>Study on the mentality of the Romanian youth, aged between 15 and 29 y.o., and their perception about the future and their country</t>
  </si>
  <si>
    <t>Centre for Urban and Regional Sociology – CURS for Friedrich-Ebert-Stiftung Romania (FES)</t>
  </si>
  <si>
    <t>Romanian Youth. Worries, aspirations, values and lifestyle</t>
  </si>
  <si>
    <t>The statistics find out that in 2017, the rate of young people aged 16-29 years at risk of poverty or social exclusion in the EU was 28 %, or 21.8 million young people, with women at slightly higher risk than men.</t>
  </si>
  <si>
    <t>country of residence, age, gender</t>
  </si>
  <si>
    <t>young people living with their parents, at risk of poverty or social exclusion, with severe material depravation, living in households with very low work intensity</t>
  </si>
  <si>
    <t>EU Member States, EFTA Member States and candidate countries</t>
  </si>
  <si>
    <t>Statistics on the social inclusion of young people (aged 16-29 years). It focuses on an indicator concerning people at risk of poverty or social exclusion and its sub-components — the at-risk-of-poverty rate, the severe material deprivation rate and the share of households with very low work intensity</t>
  </si>
  <si>
    <t>Young people - Social Inclusion</t>
  </si>
  <si>
    <t>The statistics find out that in 2018, an average of 10.6 % of young people (aged 18-24) in the EU were early leavers from education and training, even if the overall share of early leavers fell by 1.3 points between 2013 and 2018.</t>
  </si>
  <si>
    <t>gender, degree of urbanisation, willingness to quit</t>
  </si>
  <si>
    <t>early leavers rate</t>
  </si>
  <si>
    <t>Statistics on early leavers from education and training, that may face considerable difficulties in accessing the labour market in good conditions</t>
  </si>
  <si>
    <t>Early leavers from education and training</t>
  </si>
  <si>
    <t>The report finds out that despite the difficult labour market standing in the area, the employment situation of youth continued to improve, with the youth unemployment rate falling by 3 percentage points to 34.6 percent.</t>
  </si>
  <si>
    <t>age, gender, country</t>
  </si>
  <si>
    <t>employment rate, quality, sector, wages, productivity</t>
  </si>
  <si>
    <t>comparison between data from Western Balkans countries and EU parties (Austria, Hungary, Bulgaria, and Croatia)</t>
  </si>
  <si>
    <t>national labour force surveys and Eurostat statistics</t>
  </si>
  <si>
    <t>Report on the labour market in the Western Balkan countries—Albania, Bosnia and Herzegovina, Kosovo, Montenegro, North Macedonia and Serbia—all them characterized by low employment rates and high unemployment by European standards.</t>
  </si>
  <si>
    <t>World Bank and WIIW</t>
  </si>
  <si>
    <t>Western Balkans Labour Market Trends: 2019</t>
  </si>
  <si>
    <t>Informative of specific vulnerabilities that NEETs face in their daily lives, of their future plans and academic development, life satisfaction, challenges to finding employment, etc.</t>
  </si>
  <si>
    <t>Census on Youths NEET: Report on Findings</t>
  </si>
  <si>
    <t>age, gender, province</t>
  </si>
  <si>
    <t>living situations, social contacts, life satisfaction, level of education, future academic plans, work experience and interests, feedback on the EU Youth Guarantee and the national measures incorporating it, challenges to finding employment or continuing education, needs and beneficial national measures</t>
  </si>
  <si>
    <t>227 legible and contacted pre-identified NEETs</t>
  </si>
  <si>
    <t>guided questionnaire and face-to-face home-based interview</t>
  </si>
  <si>
    <t>census</t>
  </si>
  <si>
    <t>The report explores the different vulnerabilities that Maltese NEETs encounter in education, employment, personal development and the social sphere.</t>
  </si>
  <si>
    <t>Ministry of Education and Employment of Malta</t>
  </si>
  <si>
    <t>Census among pre-identified NEETs in Malta</t>
  </si>
  <si>
    <t xml:space="preserve"> Instrumental in providing information on the different means of collecting data on NEETs in the UK with respect to various categories of potential vulnerability. </t>
  </si>
  <si>
    <t>Briefing Paper: NEET: Young People Not in Education, Employment or Training</t>
  </si>
  <si>
    <t>age, gender</t>
  </si>
  <si>
    <t>trends in numbers, employment, education, economic activity, risk factors for becoming NEET</t>
  </si>
  <si>
    <t>UK youth</t>
  </si>
  <si>
    <t>overview of national and international data</t>
  </si>
  <si>
    <t>The briefing paper reviews nationally and internationally collected data on NEETs in the UK and provides policies to reduce the number and inherent vulnerabilities of NEETs.</t>
  </si>
  <si>
    <t>UK House of Commons</t>
  </si>
  <si>
    <t xml:space="preserve">Study of the trends and characteristics for NEETs in England </t>
  </si>
  <si>
    <t xml:space="preserve">Dividing the NEET population into subgroups gives more information about their composition, needs and characteristics, helping policymakers to set targets to reduce its overall rate </t>
  </si>
  <si>
    <t>age, gender, reasons for NEET condition (short/long term unemployment, illness/disability, family responsibilities, discouragement)</t>
  </si>
  <si>
    <t>Data collected by the EU Labour Force Survey</t>
  </si>
  <si>
    <t>The report explores the diversity of NEETs and suggests seven subgroups into which the NEET population can be disaggregated using data routinely collected for the EU Labour Force Survey.</t>
  </si>
  <si>
    <t>Exploring the diversity of NEETs</t>
  </si>
  <si>
    <t>The analysis focuses on the population aged 20 to 34 and its difficulties to go on with their studies or to get a job.</t>
  </si>
  <si>
    <t xml:space="preserve">employment, education and training status, </t>
  </si>
  <si>
    <t xml:space="preserve">survey </t>
  </si>
  <si>
    <t>Overview of European Union statistics related to young people neither in employment nor in education or training (NEET).</t>
  </si>
  <si>
    <t>Statistics on young people neither in employment nor in education or training</t>
  </si>
  <si>
    <t xml:space="preserve">The indicator presents that, among OECD State members, 6% of 15-19 year-olds are neither employed nor in education
or training (NEET), and this percentage increases to 16% among 20-24 year-olds and 18% among
25-29 year-olds. </t>
  </si>
  <si>
    <t xml:space="preserve">general </t>
  </si>
  <si>
    <t>OECD member countries</t>
  </si>
  <si>
    <t>Data collected for the Education at a Glance 2018 publication</t>
  </si>
  <si>
    <t>Indicator that presents the share of young people who are not in employment, education or training (NEET), as a percentage of the total number of young people in the corresponding age group, by gender.</t>
  </si>
  <si>
    <t>OECD</t>
  </si>
  <si>
    <t>Youth not in employment, education or training (NEET)</t>
  </si>
  <si>
    <t>TABLE 4: International/foreign data collection efforts/instruments - very young persons</t>
  </si>
  <si>
    <t>Data collection</t>
  </si>
  <si>
    <t>Summative of key aspects of the daily lives of elders that could be indicative of underlying risk factors.</t>
  </si>
  <si>
    <t>“A look at the lives of the elderly in the EU today” - a web tool released by Eurostat</t>
  </si>
  <si>
    <t xml:space="preserve">share of the elderly population, life expectancy at 65, healthy years at 65, share of elders living alone, share of economically active elders, share of elders who travel, share of elders who use the internet </t>
  </si>
  <si>
    <t>EU-wide</t>
  </si>
  <si>
    <t>adjustment</t>
  </si>
  <si>
    <t>pre-existing data adjustment</t>
  </si>
  <si>
    <t>Interactive map allowing cross-country comparison along several key indicators related to the lives of elders in Europe</t>
  </si>
  <si>
    <t>2015 updated in 2017</t>
  </si>
  <si>
    <t>Collection of data on different aspects of elders' daily life</t>
  </si>
  <si>
    <t>Data sets</t>
  </si>
  <si>
    <t>The report studies the state of the long-term care (LTC) system in Romania, that includes all medical and social services delivered over a long period of time to those in need, such as the chronically ill, terminally ill, disabled and dependent elderly people who need help with activities of daily living or instrumental activities of daily living</t>
  </si>
  <si>
    <t>2017 Profile
of Older Americans</t>
  </si>
  <si>
    <t>specific categories for each indicator, age, gender, income categories, etc.</t>
  </si>
  <si>
    <t>future trends, marital status, living arrangements, racial and ethnic composition, geographic distribution, income, poverty, housing, employment, education, health and healthcare, health insurance coverage, disability and physical functioning, caregiving</t>
  </si>
  <si>
    <t>US-wide</t>
  </si>
  <si>
    <t xml:space="preserve">analysis  </t>
  </si>
  <si>
    <t>summary and analysis of Census data</t>
  </si>
  <si>
    <t>Annual overview of the population ageing trends, the most common issues of older Americans in different aspects, and the general composition of the age group.</t>
  </si>
  <si>
    <t>Administration for Community Living - operating division of the US Department of Health and Human Services</t>
  </si>
  <si>
    <t>Overview of facts and figures by the US National Census Bureau</t>
  </si>
  <si>
    <t xml:space="preserve">Instrumental in bringing forward barriers and challenges to elder participation in daily life in diverse areas such as education, employment, family life, social life. Indicative of access/affordability problematics. </t>
  </si>
  <si>
    <t>Future of
an Ageing
Population</t>
  </si>
  <si>
    <t>gender, age, other specific segregation by indicators</t>
  </si>
  <si>
    <t>demographic challenges, longer working lives, barriers facing ageing workers, professional skills, life-long learning participation, barriers to participating in adult education, housing, importance of neighbours, affordability of housing, family relations, care, healthcare costs, access to transport, connectivity, social inclusion, etc.</t>
  </si>
  <si>
    <t>UK-wide</t>
  </si>
  <si>
    <t>summary and analysis of recurring national data</t>
  </si>
  <si>
    <t>The report explores key statistics on areas of interest such as work, education, life-long learning, housing, family life, health and care, social connectivity and inclusion, etc., and addresses important issues for elders in those areas.</t>
  </si>
  <si>
    <t>Government Office for Science, UK</t>
  </si>
  <si>
    <t>Overview of facts and figures by the UK Office for National Statistics</t>
  </si>
  <si>
    <t>Regarding the elderly, the report describes their access to employment, social services, health care, household situation and general demographical data.</t>
  </si>
  <si>
    <t>GDP per capita, poverty rate, unemployment rate, long-term unemployment rate, household structure, education and health care quality, social protection</t>
  </si>
  <si>
    <t>Albania, Bosnia and Herzegovina, Montenegro, Serbia, Croatia, Kosovo</t>
  </si>
  <si>
    <t>analysis of Eurostat data</t>
  </si>
  <si>
    <t>The Position Paper provides an overview against the key welfare state indicators and reviews challenges that the social welfare state faces globally.</t>
  </si>
  <si>
    <t>Centre for Social Policy</t>
  </si>
  <si>
    <t>The Welfare State in Western Balkan Countries: Challenges and Options</t>
  </si>
  <si>
    <t>The 2008 economic downturn has put more strain on the support structures for the elderly in the European Region, which in turn may put more older people at risk of maltreatment. Elder maltreatment is a health and social problem, and preventing it is an issue of human rights and social solidarity</t>
  </si>
  <si>
    <t>geographical WHO regions, age, diseases, gender, high/low-income country</t>
  </si>
  <si>
    <t>risk factors, interventions to prevent and reduce maltreatment</t>
  </si>
  <si>
    <t>53 countries belonging to the WHO European Region</t>
  </si>
  <si>
    <t>analysis, questionnaires</t>
  </si>
  <si>
    <t>state supplied statistics, UN statistics, own survey</t>
  </si>
  <si>
    <t>The report highlights the numerous biological, social, cultural, economic and environmental factors that interact to influence the risk and protective factors of being a victim or perpetrator of elder maltreatment.</t>
  </si>
  <si>
    <t>European report on preventing elder maltreatment</t>
  </si>
  <si>
    <t>The indicator is defined as the ratio of the median equalised disposable income of persons aged 60 and over to the median equalised disposable income of persons aged between 0 and 59.</t>
  </si>
  <si>
    <t>country, Euro area, European Union members, gender</t>
  </si>
  <si>
    <t>median income</t>
  </si>
  <si>
    <t>Indicator defining the median income of elderly people in European countries</t>
  </si>
  <si>
    <t>Median relative income of elderly people (60+) - EU-SILC survey</t>
  </si>
  <si>
    <t>Fact Sheets</t>
  </si>
  <si>
    <t>Some of the main themes addressed in this report are overall perceptions of age and older people. perceptions of and attitudes towards older people, the potential role for older people in society and the impact of the ageing population in the future and older people in the workplace.</t>
  </si>
  <si>
    <t>age discrimination, life expectancy, barriers to old people in the workplace and their perception there, expectations for their career, official retirement age, official and compulsory retirement age, voluntary work and active participation</t>
  </si>
  <si>
    <t>31,280 respondents aged 15 and above</t>
  </si>
  <si>
    <t xml:space="preserve">interview  </t>
  </si>
  <si>
    <t>Survey aimed at understanding European citizens’ views and attitudes towards older people, the contribution of older people in the workplace and society, and how best to promote an active role of older people in society.</t>
  </si>
  <si>
    <t>Active Ageing in Europe</t>
  </si>
  <si>
    <t>The book answers questions from all life course phases. About the elderly, it figures out which impacts of the different health care and societal regimes can we trace at older ages and which are the differences and similarities across European countries.</t>
  </si>
  <si>
    <t>Paid</t>
  </si>
  <si>
    <t>personality traits, life satisfaction, physical health, financial behaviour, relationship with family in later life, effects of adverse childhood experiences, educational status</t>
  </si>
  <si>
    <t>about 140.000 individuals aged 50 or older in the 28 EU Member States + Israel</t>
  </si>
  <si>
    <t>interview (some variation possible between the different Waves)</t>
  </si>
  <si>
    <t>Multidisciplinary and cross-national panel database of micro data on health, socio-economic status and social and family networks</t>
  </si>
  <si>
    <t>SHARE</t>
  </si>
  <si>
    <t>Survey of Health, Ageing and Retirement in Europe</t>
  </si>
  <si>
    <t>The study finds out that public health policies regarding the elderly should account for links between
health, social relationships, pleasure, and quality of life</t>
  </si>
  <si>
    <t>age, gender, region</t>
  </si>
  <si>
    <t>being informed of subjects of interest, browsing the web, desire to go out, sending mail, contact with family, skin care and care of one-self, eating out, going away for the weekend, travelling abroad, discussions with friends or family, going to the cinema/theatre/concert/museum, preparing a meal for others, listening to music/watching movies...</t>
  </si>
  <si>
    <t>more than 4000 people aged 65 or older in France, Belgium, Germany and Italy</t>
  </si>
  <si>
    <t>The main goal of the survey is to describe the representation of pleasure and their patterns in people aged 65 and older in 4 European countries. The second aim is to study the characteristics of each country regarding successful aging</t>
  </si>
  <si>
    <t>Healthy Aging Research</t>
  </si>
  <si>
    <t>Aging in Europe: a cluster analysis of the elderly in 4 European countries according to their views on successful aging</t>
  </si>
  <si>
    <t>TABLE 5: International/foreign data collection efforts/instruments - older persons</t>
  </si>
  <si>
    <t>General data on homeless persons</t>
  </si>
  <si>
    <t>Indicative of specific vulnerable to becoming homeless groups and their particular risk factors.</t>
  </si>
  <si>
    <t>Homelessness Fact Sheets</t>
  </si>
  <si>
    <t>gender, age, disability, other relevant categories for each group</t>
  </si>
  <si>
    <t>most common risks, size of the homeless group, other indicators for each group</t>
  </si>
  <si>
    <t>Australia</t>
  </si>
  <si>
    <t>analysis and adjustment</t>
  </si>
  <si>
    <t>census data analysis, own fieldwork data collection</t>
  </si>
  <si>
    <t>A collection of info-sheets for different vulnerable to becoming homeless groups with data on the make-up of the group and the specific risks it faces.</t>
  </si>
  <si>
    <t>Homelessness Australia - established by the Federal Government</t>
  </si>
  <si>
    <t>recurring updated (latest 2018)</t>
  </si>
  <si>
    <t>Data collection and analysis of homeless persons in Australia by vulnerable groups</t>
  </si>
  <si>
    <t>Data visualisation tool</t>
  </si>
  <si>
    <t xml:space="preserve">Indicative of Bulgaria's performance on key areas related to housing in comparison with other EU member states. </t>
  </si>
  <si>
    <t>European
Quality of Life Survey 2016</t>
  </si>
  <si>
    <t>country, other specific categories for each indicator</t>
  </si>
  <si>
    <t>percentage of social housing from all housing by state, satisfaction with local area, poor neighbourhood quality, neighbourhood problems, difficulties in accessing neighbourhood services, connectivity and infrastructure, feeling safe,  perceptions of housing insecurity, etc.</t>
  </si>
  <si>
    <t>28 EU Member States</t>
  </si>
  <si>
    <t>representative, questionnaire-based
interview survey that covers the adult population</t>
  </si>
  <si>
    <t>The document includes key sections on housing security, housing affordability, social housing, etc.</t>
  </si>
  <si>
    <t>forth survey in the series (2003, 2007, 2012, 2016)</t>
  </si>
  <si>
    <t>European Quality of Life Survey 2016 - overview of results</t>
  </si>
  <si>
    <t xml:space="preserve">The data is indicative of the main sub-groups of vulnerable persons within the general category of homeless persons. </t>
  </si>
  <si>
    <t>Homelessness Statistics by State</t>
  </si>
  <si>
    <t>year, state, identity of the homeless person, age of the homeless person, place of registering</t>
  </si>
  <si>
    <t>number of homeless persons in each state; percentage of homeless persons in each state; vulnerable groups to homelessness</t>
  </si>
  <si>
    <t>field work, registers</t>
  </si>
  <si>
    <t>own research and institutional data</t>
  </si>
  <si>
    <t>The interactive map allows for the disaggregation by choice of data sets for each US state.</t>
  </si>
  <si>
    <t>US Interagency Council on Homelessness</t>
  </si>
  <si>
    <t>Homelessness statistics by US state</t>
  </si>
  <si>
    <t>Primary data (Romanian)</t>
  </si>
  <si>
    <t>The report begins stating that the Romanian legal framework in the area of housing indirectly discriminates
them by simply not taking into account their special situation as, due to historical conditions, they usually do not own land or are too poor to pay
for authorizations</t>
  </si>
  <si>
    <t>legal and policy framework, housing conditions, household type, housing tenure, access to public services, forced evictions, segregated communities, impact on health, private housing, legality and legalization</t>
  </si>
  <si>
    <t>desk research, statistics, interviews</t>
  </si>
  <si>
    <t xml:space="preserve">Report that focuses on the special situation of Roma population in Romania. </t>
  </si>
  <si>
    <t>RAXEN National Focal Point</t>
  </si>
  <si>
    <t>Thematic Study: Housing Conditions of Roma and
Travellers in Romania</t>
  </si>
  <si>
    <t>Report based on a long-term cooperation between Sweden and the Western Balkans, facing the problem of poor living conditions, that is common in the whole Western Balkan countries</t>
  </si>
  <si>
    <t>country, age, gender</t>
  </si>
  <si>
    <t>rate of people not attending school, attending high school and university, participation rate in workforce, unemployment levels, type of accommodation, place of residence, housing conditions, opinion about the accommodation</t>
  </si>
  <si>
    <t>100 people from each country: Albania, Bosnia and Herzegovina, Kosovo, Macedonia, Serbia, Sweden</t>
  </si>
  <si>
    <t>questionnaires</t>
  </si>
  <si>
    <t xml:space="preserve">Report making a comparison of the youth living conditions in Sweden and the Western Balkans </t>
  </si>
  <si>
    <t>HOLICOB</t>
  </si>
  <si>
    <t>Report on youth living conditions and housing</t>
  </si>
  <si>
    <t>Poor housing conditions are one of the main contributing factors that prevent Europeans from enjoying an acceptable standard of living. The  article analyses the distribution of housing stock and then looks in more detail at overcrowding, living space and structural issues that impact on the quality of housing available to people living in the EU.</t>
  </si>
  <si>
    <t>type of dwelling, population distribution by type of dwelling, owner-occupied dwelling, overcrowding rate, number of rooms per person, structural problems for dwelling, share of population unable to keep home warm and with environmental problems in/around home...</t>
  </si>
  <si>
    <t>This article is part of a set of statistical articles that form Eurostat’s flagship publication, Living conditions in Europe - 2018 edition . Each article helps provide a comprehensive and up-to-date summary of living conditions in Europe</t>
  </si>
  <si>
    <t>Living conditions in Europe - housing quality</t>
  </si>
  <si>
    <t>The report offers a concise overview of national priorities in the housing policies of Member States and the EU policy agenda, discusses what the research literature has to say about inadequate housing, and presents basic data about the prevalence of certain types of inadequacy in Europe’s housing stock.</t>
  </si>
  <si>
    <t>housing deprivation, number of housing inadequacies, space shortage, structural problems in dwelling, lack of basic facilities..</t>
  </si>
  <si>
    <t>literature research, own data from EQLS</t>
  </si>
  <si>
    <t>This report aims to improve understanding of the true cost of inadequate housing to EU Member States, and to suggest policy initiatives that might help address poor quality housing along with its social and economic costs.</t>
  </si>
  <si>
    <t>Inadequate housing in Europe: Costs and consequences</t>
  </si>
  <si>
    <t>Its aim is to explore the range of homelessness service provision across Europe. The two main objectives were to look at how homelessness service provision varied between different countries and to explore patterns of homelessness service provision in cities, larger towns and rural areas.</t>
  </si>
  <si>
    <t>country, urban/rural area</t>
  </si>
  <si>
    <t>emergency accommodation, temporary accommodation, non-residential services, prevention actions, legal regulation of homelessness services</t>
  </si>
  <si>
    <t>experts living and working in 16 EU Member States</t>
  </si>
  <si>
    <t>detailed insight into the range of services provided to homeless people across the European Union.</t>
  </si>
  <si>
    <t>European Observatory for Homelessness</t>
  </si>
  <si>
    <t>Homelessness Services in Europe</t>
  </si>
  <si>
    <t>The report shows
that while the quality of housing is gradually
improving at European level, the continuous
increase in housing costs is putting more and
more pressure on all households, putting the most vulnerable of them in the forefront.</t>
  </si>
  <si>
    <t>country, age, EU/non-EU citizenship</t>
  </si>
  <si>
    <t>homelessness rates, housing costs, household budgets, housing quality and quality of life, social factors worsening housing difficulties, legal tools for protecting housing rights</t>
  </si>
  <si>
    <t>analysis of national data and Eurostat data sets</t>
  </si>
  <si>
    <t>The report focuses on the need of reducing homelessness, housing exclusion and housing rights in Europe</t>
  </si>
  <si>
    <t>FEANTSA</t>
  </si>
  <si>
    <t>Third Review of Housing Exclusion in Europe 2018</t>
  </si>
  <si>
    <t>The report covers, among others: their types of housing; living space; the structure/composition of households; house prices; and the rate at which people move home.</t>
  </si>
  <si>
    <t>dwelling type, degree of urbanisation, period of construction of dwelling, rates of owner occupation of houses, average living space, structure of households...</t>
  </si>
  <si>
    <t>Portrait of housing conditions that are faced by Europeans living in urban areas</t>
  </si>
  <si>
    <t>Urban Europe — statistics on cities, towns and suburbs — housing in cities</t>
  </si>
  <si>
    <t>The first chapter presents an overview of the context in which the social housing sector is embedded, the second one provides a brief of the social housing sector across Europe, and the third presents the 27 country profiles of the social
housing sector</t>
  </si>
  <si>
    <t>housing availability, tenure split, privatisation processes, construction production index, average housing costs, share of housing costs, overcrowding rate, dwellings with basic amenities..</t>
  </si>
  <si>
    <t>analysis and adjustment of national data, international data and own pre-collected data</t>
  </si>
  <si>
    <t>The review focuses on social housing and aims at providing a clearer picture of the way social housing systems are structured across the EU, while identifying the main recent trends in the sector.</t>
  </si>
  <si>
    <t>CECODHAS Housing Europe</t>
  </si>
  <si>
    <t>Housing Europe Review 2012</t>
  </si>
  <si>
    <t>The 2017 edition of the ‘State of Housing in the EU’ provides proof that Europe’s housing challenge is far from over, as it has become the highest expenditure for Europeans, growing faster than their income.</t>
  </si>
  <si>
    <t>country, tenant/owner</t>
  </si>
  <si>
    <t>owner occupied, private rent and social rent rates, public funding, housing cost, distribution of the population</t>
  </si>
  <si>
    <t>analysis of national data</t>
  </si>
  <si>
    <t>The main aim of the report is to identify key trends in the field of housing and social housing at European level, and thus support Housing Europe's policy work by providing strategic and evidence-based analysis.</t>
  </si>
  <si>
    <t>Housing Europe</t>
  </si>
  <si>
    <t>The State of Housing in the EU 2017</t>
  </si>
  <si>
    <t>TABLE 6: International/foreign data collection efforts/instruments - people in precarious housing</t>
  </si>
  <si>
    <t>The Government and its partners acknowledged the need for taking joint measures to approach the needs of these people adopting the National Action Plan on the protection of children left without parental care
for 2010-2011. This report aims to give empirical data on future improvements in social policies to address the problems related to the phenomenon.</t>
  </si>
  <si>
    <t>gender of the parent abroad, age of children</t>
  </si>
  <si>
    <t>perception of labor migration, psychological and social effects, children's education, health of family members involved, integrity of migrant's families, well-being of migrant's households, values and life plans, social policies</t>
  </si>
  <si>
    <t>Moldova</t>
  </si>
  <si>
    <t>interviews, group discussion, drawing, free writing</t>
  </si>
  <si>
    <t>qualitative sociological research</t>
  </si>
  <si>
    <t>The conducted research offers a complex picture of the impact of migration on children and elderly left behind and on social policies promoted in the Republic of Moldova targeted to mitigate negative consequences migration has on these categories of people</t>
  </si>
  <si>
    <t>IOM project</t>
  </si>
  <si>
    <t>Specific Needs of Children and Elderly Left Behind as a Consequence of Migration</t>
  </si>
  <si>
    <t xml:space="preserve">Indicative of social risks related to building and maintaining relationships and trust, navigating the public sphere, participating in society, etc.
</t>
  </si>
  <si>
    <t>The Situation of Children Left Behind by Migrating Parents: Study Report</t>
  </si>
  <si>
    <t>no additional disaggregation</t>
  </si>
  <si>
    <t>the psycho-emotional development of CLB, their relationships with parents, relatives and friends, their school performance, their access to and use of resources, their participation in the community, their views of the future</t>
  </si>
  <si>
    <t>workshops, questionnaires, focus group discussions, in-depth interviews</t>
  </si>
  <si>
    <t xml:space="preserve">The paper sheds light on a plethora of aspects of vulnerability and negative effect of parental migration for children left behind in Moldova. </t>
  </si>
  <si>
    <t>UNICEF Moldova</t>
  </si>
  <si>
    <t>Research on the effect of parental migration on children in Moldova</t>
  </si>
  <si>
    <t>This paper is an attempt at an in-depth analysis of the data gathered through the opinion poll, and also of the more detailed data obtained through the local interviews that were conducted as part of the program.</t>
  </si>
  <si>
    <t>which parent abroad/both, time abroad of parents</t>
  </si>
  <si>
    <t>positive and negative effects, duration of the parents absence, care of the children left behind, role of school, spare time, contact with parents, effects of divorce, work field of parents living abroad, effects on health, lack of parental control, support networks</t>
  </si>
  <si>
    <t>2037 school children and 200 school representatives</t>
  </si>
  <si>
    <t>opinion poll</t>
  </si>
  <si>
    <t>The Soros Foundation research aims to quantify the impact of the parents’ absence on the children left in Romania and to suggest ways in which the negative effects could be reduced</t>
  </si>
  <si>
    <t>OSI (former Soros Foundation Romania)</t>
  </si>
  <si>
    <t>The effects of migration: the children left at Home</t>
  </si>
  <si>
    <t>Instrumental in providing data on the living conditions and education of CLB and demonstrating successful data collection approaches.</t>
  </si>
  <si>
    <t>The Research Concerning Safeguarding of the Rights and Legal Interests of Children, whose Parents Left the Country in Considering Questions Related to Them Living and Educational Conditions</t>
  </si>
  <si>
    <t>type of living situation, type of care-giver, type of negative behaviour, type of challenge</t>
  </si>
  <si>
    <t>the living situation of CLB, the observed changes in behaviour after parental migration, the incidence of negative behavioural changes and their types, the main challenges for CLB in the educational sphere</t>
  </si>
  <si>
    <t>651 schools</t>
  </si>
  <si>
    <t>self-completion questionnaire</t>
  </si>
  <si>
    <t>The report outlines the results of a survey sent to 651 schools in Lithuania in areas such as the living situation of CLB, the observed changes in behaviour after parental migration, the incidence of negative behavioural changes and their types, the main challenges for CLB in the educational sphere, etc.</t>
  </si>
  <si>
    <t xml:space="preserve">Children’s Rights Ombudsman Institution of the R. of Lithuania </t>
  </si>
  <si>
    <t>School children survey on living conditions and education</t>
  </si>
  <si>
    <t>It focuses on the role of migration and remittances on improving the livelihoods of children in migrant households, and on broadening their capacities for full participation in society</t>
  </si>
  <si>
    <t>Country</t>
  </si>
  <si>
    <t>education and health of children left behind, roles of women on left behind households</t>
  </si>
  <si>
    <t>Mexico, Ecuador, the Philippines and Moldova</t>
  </si>
  <si>
    <t>desk-research</t>
  </si>
  <si>
    <t>analysis of reports and literature</t>
  </si>
  <si>
    <t>joint research project on migration’s impacts on children in left-behind households in Mexico, Ecuador, the Philippines and Moldova</t>
  </si>
  <si>
    <t>Children and Women in Labour Sending Countries: an appraisal of social risks</t>
  </si>
  <si>
    <t>This report devotes particular attention to how migration – of one or both parents— affects children left behind and reviews how state policies regarding poverty reduction and social protection can contribute to alleviating the negative impacts of parental migration on the rights of children left behind.</t>
  </si>
  <si>
    <t xml:space="preserve">income allocation and inequality, poverty rates, education ,health, gender roles, family dynamics, child well-being, emotional and psychological impact of migration, social protection </t>
  </si>
  <si>
    <t>field research</t>
  </si>
  <si>
    <t>review of scholarly and policy studies</t>
  </si>
  <si>
    <t>Analysis that encompasses the multi-layered impact of migration, i.e., its effect on the individual, the family and the sending community.</t>
  </si>
  <si>
    <t>Migration, development and children left behind: a multidimensional perspective</t>
  </si>
  <si>
    <t>The study fins out that parental migration is detrimental to the health of left-behind children and adolescents, with no
evidence of any benefit. Policy makers and health-care professionals need to take action to improve the health of these
young people.</t>
  </si>
  <si>
    <t>country, parent absent, health-related problem</t>
  </si>
  <si>
    <t>effects of parental migration on nutrition, mental health, unintentional injuries, infectious disease, substance use, unprotected sex, early pregnancy, and abuse</t>
  </si>
  <si>
    <t>111 studies analysed, including a total of 264 967 children</t>
  </si>
  <si>
    <t>systematic review and meta-analysis</t>
  </si>
  <si>
    <t>review of publications and case-studies</t>
  </si>
  <si>
    <t>Investigation of the effect of parental migration on the health of left behind-children and adolescents in low-income and middle-income countries (LMICs).</t>
  </si>
  <si>
    <t>Wellcome Trust</t>
  </si>
  <si>
    <t>Health impacts of parental migration on left-behind children and adolescents: a systematic review and meta-analysis</t>
  </si>
  <si>
    <t>The 6th chapter focuses on mobility and transnational connectivity of families that have members abroad</t>
  </si>
  <si>
    <t>sex, age, country of origin, country of destination</t>
  </si>
  <si>
    <t xml:space="preserve">internet and mobile phone access, price of air travel, international tourism arrivals, access to telecommunication for refugees </t>
  </si>
  <si>
    <t>national and international statistics</t>
  </si>
  <si>
    <t>The report seeks to use the body of available data and research to
contribute to more evidence-based analysis and policy debates about some of the most important and pressing
global migration issues of our time.</t>
  </si>
  <si>
    <t>International Organization for Migration (IOM) - The UN Migration Agency</t>
  </si>
  <si>
    <t>World Migration Report 2018</t>
  </si>
  <si>
    <t xml:space="preserve">Utility </t>
  </si>
  <si>
    <t>TABLE 8: International/foreign data collection efforts/instruments - emigrant household members</t>
  </si>
  <si>
    <t>TABLE 9: International/foreign data collection efforts/instruments - victims of domestic violence</t>
  </si>
  <si>
    <t>TABLE 10: International/foreign data collection efforts/instruments - LGBTQ+ persons</t>
  </si>
  <si>
    <t>=HYPERLINK("https://ec.europa.eu/social/BlobServlet?docId=19002&amp;langId=en","An evaluation of the scale of undeclared work in the European Union and its structural determinants: estimates using the Labour Input Method")</t>
  </si>
  <si>
    <t xml:space="preserve">The conclusion of the report is that a political commitment to national and cross-border information
sharing, and cooperation across government departments and
at operational level with various authorities, are a prerequisite
for tackling undeclared work at EU and national level. </t>
  </si>
  <si>
    <t>Country Specific Recommendations issued, no written contract employment, dependent self-employment, envelope wages receivement, challenges for tackling undeclared work</t>
  </si>
  <si>
    <t>rate of people knowing undeclared workers, people making payments for goods or services involving undeclared work, employees undertaking under-declared work</t>
  </si>
  <si>
    <t>people that carried out undeclared work in the last 12 months, people who acquired services from undeclared workers, employees that have received cash for extra-work, perception of the risk of undeclared work being detected, opinions about undeclared work</t>
  </si>
  <si>
    <t>participation in undeclared/under-declared work in the EU by sector/by EU region, EU-level cooperation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</si>
</sst>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name val="Arial"/>
    </font>
    <font>
      <sz val="11"/>
      <name val="Arial"/>
      <family val="2"/>
      <charset val="204"/>
    </font>
    <font>
      <sz val="11"/>
      <name val="Calibri"/>
      <family val="2"/>
      <charset val="204"/>
    </font>
    <font>
      <sz val="11"/>
      <color rgb="FF000000"/>
      <name val="Calibri"/>
      <family val="2"/>
      <charset val="204"/>
    </font>
    <font>
      <u/>
      <sz val="11"/>
      <color theme="10"/>
      <name val="Arial"/>
      <family val="2"/>
    </font>
    <font>
      <sz val="11"/>
      <color theme="1"/>
      <name val="Calibri"/>
      <family val="2"/>
      <charset val="204"/>
    </font>
    <font>
      <u/>
      <sz val="11"/>
      <color rgb="FF0000FF"/>
      <name val="Calibri"/>
      <family val="2"/>
      <charset val="204"/>
    </font>
    <font>
      <sz val="11"/>
      <color rgb="FF000000"/>
      <name val="Calibri"/>
      <family val="2"/>
      <charset val="204"/>
      <scheme val="minor"/>
    </font>
    <font>
      <sz val="11"/>
      <name val="Calibri"/>
      <family val="2"/>
      <charset val="204"/>
      <scheme val="minor"/>
    </font>
    <font>
      <u/>
      <sz val="11"/>
      <color theme="10"/>
      <name val="Calibri"/>
      <family val="2"/>
      <charset val="204"/>
      <scheme val="minor"/>
    </font>
    <font>
      <sz val="11"/>
      <color theme="1"/>
      <name val="Calibri"/>
      <family val="2"/>
      <charset val="204"/>
      <scheme val="minor"/>
    </font>
    <font>
      <u/>
      <sz val="11"/>
      <color rgb="FF0000FF"/>
      <name val="Calibri"/>
      <family val="2"/>
      <charset val="204"/>
      <scheme val="minor"/>
    </font>
    <font>
      <u/>
      <sz val="11"/>
      <color theme="10"/>
      <name val="Calibri"/>
      <family val="2"/>
      <charset val="204"/>
    </font>
    <font>
      <sz val="11"/>
      <name val="Arial"/>
      <family val="2"/>
    </font>
    <font>
      <sz val="11"/>
      <color theme="1"/>
      <name val="Arial"/>
      <family val="2"/>
    </font>
    <font>
      <u/>
      <sz val="11"/>
      <color rgb="FF0000FF"/>
      <name val="Calibri"/>
      <family val="2"/>
    </font>
    <font>
      <sz val="11"/>
      <color rgb="FF000000"/>
      <name val="Calibri"/>
      <family val="2"/>
    </font>
    <font>
      <sz val="11"/>
      <color theme="1"/>
      <name val="Calibri"/>
      <family val="2"/>
    </font>
    <font>
      <u/>
      <sz val="11"/>
      <color rgb="FF000000"/>
      <name val="Calibri"/>
      <family val="2"/>
    </font>
    <font>
      <sz val="11"/>
      <name val="Calibri"/>
      <family val="2"/>
    </font>
    <font>
      <sz val="11"/>
      <color rgb="FF0000FF"/>
      <name val="Calibri"/>
      <family val="2"/>
    </font>
    <font>
      <sz val="11"/>
      <name val="Calibri"/>
      <family val="2"/>
      <scheme val="minor"/>
    </font>
    <font>
      <u/>
      <sz val="11"/>
      <color rgb="FF0000FF"/>
      <name val="Calibri"/>
      <family val="2"/>
      <scheme val="minor"/>
    </font>
    <font>
      <sz val="11"/>
      <color rgb="FF000000"/>
      <name val="Calibri"/>
      <family val="2"/>
      <scheme val="minor"/>
    </font>
    <font>
      <sz val="11"/>
      <color theme="1"/>
      <name val="Calibri"/>
      <family val="2"/>
      <scheme val="minor"/>
    </font>
    <font>
      <sz val="11"/>
      <color rgb="FF0000FF"/>
      <name val="Calibri"/>
      <family val="2"/>
      <scheme val="minor"/>
    </font>
    <font>
      <u/>
      <sz val="11"/>
      <color theme="10"/>
      <name val="Calibri"/>
      <family val="2"/>
      <scheme val="minor"/>
    </font>
    <font>
      <sz val="11"/>
      <color rgb="FF000000"/>
      <name val="Calibri (Body)"/>
    </font>
  </fonts>
  <fills count="13">
    <fill>
      <patternFill patternType="none"/>
    </fill>
    <fill>
      <patternFill patternType="gray125"/>
    </fill>
    <fill>
      <patternFill patternType="solid">
        <fgColor rgb="FF92CDDC"/>
        <bgColor rgb="FF92CDDC"/>
      </patternFill>
    </fill>
    <fill>
      <patternFill patternType="solid">
        <fgColor rgb="FFDAEEF3"/>
        <bgColor rgb="FFDAEEF3"/>
      </patternFill>
    </fill>
    <fill>
      <patternFill patternType="solid">
        <fgColor theme="8" tint="0.79998168889431442"/>
        <bgColor indexed="64"/>
      </patternFill>
    </fill>
    <fill>
      <patternFill patternType="solid">
        <fgColor theme="8" tint="0.79998168889431442"/>
        <bgColor rgb="FFDAEEF3"/>
      </patternFill>
    </fill>
    <fill>
      <patternFill patternType="solid">
        <fgColor theme="0"/>
        <bgColor rgb="FFDAEEF3"/>
      </patternFill>
    </fill>
    <fill>
      <patternFill patternType="solid">
        <fgColor theme="0"/>
        <bgColor indexed="64"/>
      </patternFill>
    </fill>
    <fill>
      <patternFill patternType="solid">
        <fgColor theme="8" tint="0.79998168889431442"/>
        <bgColor rgb="FFFFFFFF"/>
      </patternFill>
    </fill>
    <fill>
      <patternFill patternType="solid">
        <fgColor rgb="FFFFFFFF"/>
        <bgColor rgb="FFFFFFFF"/>
      </patternFill>
    </fill>
    <fill>
      <patternFill patternType="solid">
        <fgColor rgb="FFDAEEF3"/>
        <bgColor indexed="64"/>
      </patternFill>
    </fill>
    <fill>
      <patternFill patternType="solid">
        <fgColor rgb="FFDAEEF3"/>
        <bgColor rgb="FFFFFFFF"/>
      </patternFill>
    </fill>
    <fill>
      <patternFill patternType="solid">
        <fgColor rgb="FFDAEEF3"/>
        <bgColor theme="0"/>
      </patternFill>
    </fill>
  </fills>
  <borders count="6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bottom/>
      <diagonal/>
    </border>
    <border>
      <left style="thin">
        <color rgb="FF000000"/>
      </left>
      <right style="medium">
        <color rgb="FF000000"/>
      </right>
      <top/>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top style="medium">
        <color indexed="64"/>
      </top>
      <bottom/>
      <diagonal/>
    </border>
    <border>
      <left style="medium">
        <color indexed="64"/>
      </left>
      <right/>
      <top/>
      <bottom/>
      <diagonal/>
    </border>
    <border>
      <left style="medium">
        <color indexed="64"/>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thin">
        <color rgb="FF000000"/>
      </right>
      <top/>
      <bottom style="medium">
        <color rgb="FF000000"/>
      </bottom>
      <diagonal/>
    </border>
    <border>
      <left style="medium">
        <color rgb="FF000000"/>
      </left>
      <right style="thin">
        <color rgb="FF000000"/>
      </right>
      <top/>
      <bottom style="medium">
        <color rgb="FF000000"/>
      </bottom>
      <diagonal/>
    </border>
    <border>
      <left/>
      <right style="medium">
        <color indexed="64"/>
      </right>
      <top style="medium">
        <color indexed="64"/>
      </top>
      <bottom style="medium">
        <color rgb="FF000000"/>
      </bottom>
      <diagonal/>
    </border>
    <border>
      <left style="thin">
        <color rgb="FF000000"/>
      </left>
      <right style="medium">
        <color indexed="64"/>
      </right>
      <top style="medium">
        <color rgb="FF000000"/>
      </top>
      <bottom/>
      <diagonal/>
    </border>
    <border>
      <left/>
      <right style="thin">
        <color rgb="FF000000"/>
      </right>
      <top style="medium">
        <color rgb="FF000000"/>
      </top>
      <bottom/>
      <diagonal/>
    </border>
    <border>
      <left style="medium">
        <color rgb="FF000000"/>
      </left>
      <right/>
      <top style="medium">
        <color indexed="64"/>
      </top>
      <bottom style="medium">
        <color indexed="64"/>
      </bottom>
      <diagonal/>
    </border>
    <border>
      <left/>
      <right/>
      <top/>
      <bottom style="medium">
        <color rgb="FF000000"/>
      </bottom>
      <diagonal/>
    </border>
    <border>
      <left/>
      <right style="medium">
        <color indexed="64"/>
      </right>
      <top/>
      <bottom/>
      <diagonal/>
    </border>
    <border>
      <left style="medium">
        <color rgb="FF000000"/>
      </left>
      <right/>
      <top/>
      <bottom style="medium">
        <color rgb="FF000000"/>
      </bottom>
      <diagonal/>
    </border>
    <border>
      <left/>
      <right/>
      <top style="medium">
        <color rgb="FF000000"/>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diagonal/>
    </border>
    <border>
      <left/>
      <right style="thin">
        <color rgb="FF000000"/>
      </right>
      <top/>
      <bottom style="medium">
        <color rgb="FF000000"/>
      </bottom>
      <diagonal/>
    </border>
    <border>
      <left style="thin">
        <color rgb="FF000000"/>
      </left>
      <right/>
      <top/>
      <bottom style="medium">
        <color rgb="FF000000"/>
      </bottom>
      <diagonal/>
    </border>
  </borders>
  <cellStyleXfs count="4">
    <xf numFmtId="0" fontId="0" fillId="0" borderId="0"/>
    <xf numFmtId="0" fontId="4" fillId="0" borderId="0" applyNumberFormat="0" applyFill="0" applyBorder="0" applyAlignment="0" applyProtection="0"/>
    <xf numFmtId="0" fontId="14" fillId="0" borderId="0"/>
    <xf numFmtId="0" fontId="13" fillId="0" borderId="0"/>
  </cellStyleXfs>
  <cellXfs count="466">
    <xf numFmtId="0" fontId="0" fillId="0" borderId="0" xfId="0" applyFont="1" applyAlignment="1"/>
    <xf numFmtId="0" fontId="0" fillId="0" borderId="0" xfId="0" applyFont="1" applyAlignment="1">
      <alignment vertical="center"/>
    </xf>
    <xf numFmtId="0" fontId="1" fillId="0" borderId="0" xfId="0" applyFont="1" applyAlignment="1">
      <alignment vertical="center"/>
    </xf>
    <xf numFmtId="0" fontId="0" fillId="0" borderId="0" xfId="0" applyFont="1" applyAlignment="1">
      <alignment vertical="center" wrapText="1"/>
    </xf>
    <xf numFmtId="0" fontId="0" fillId="0" borderId="0" xfId="0" applyFont="1" applyFill="1" applyAlignment="1">
      <alignment vertical="center"/>
    </xf>
    <xf numFmtId="0" fontId="0" fillId="0" borderId="0" xfId="0" applyFont="1" applyAlignment="1">
      <alignment horizontal="left" vertical="center"/>
    </xf>
    <xf numFmtId="0" fontId="1" fillId="0" borderId="0" xfId="0" applyFont="1" applyFill="1" applyAlignment="1">
      <alignment vertical="center"/>
    </xf>
    <xf numFmtId="49" fontId="7" fillId="2" borderId="4" xfId="0" applyNumberFormat="1" applyFont="1" applyFill="1" applyBorder="1" applyAlignment="1">
      <alignment vertical="center" wrapText="1"/>
    </xf>
    <xf numFmtId="49" fontId="7" fillId="2" borderId="5" xfId="0" applyNumberFormat="1" applyFont="1" applyFill="1" applyBorder="1" applyAlignment="1">
      <alignment vertical="center"/>
    </xf>
    <xf numFmtId="49" fontId="10" fillId="2" borderId="5" xfId="0" applyNumberFormat="1" applyFont="1" applyFill="1" applyBorder="1" applyAlignment="1">
      <alignment vertical="center"/>
    </xf>
    <xf numFmtId="49" fontId="7" fillId="2" borderId="6" xfId="0" applyNumberFormat="1" applyFont="1" applyFill="1" applyBorder="1" applyAlignment="1">
      <alignment vertical="center"/>
    </xf>
    <xf numFmtId="49" fontId="7" fillId="2" borderId="4" xfId="0" applyNumberFormat="1" applyFont="1" applyFill="1" applyBorder="1" applyAlignment="1">
      <alignment vertical="center"/>
    </xf>
    <xf numFmtId="49" fontId="10" fillId="2" borderId="4" xfId="0" applyNumberFormat="1" applyFont="1" applyFill="1" applyBorder="1" applyAlignment="1">
      <alignment vertical="center"/>
    </xf>
    <xf numFmtId="49" fontId="10" fillId="2" borderId="5" xfId="0" applyNumberFormat="1" applyFont="1" applyFill="1" applyBorder="1" applyAlignment="1">
      <alignment horizontal="center" vertical="center" wrapText="1"/>
    </xf>
    <xf numFmtId="49" fontId="7" fillId="2" borderId="7" xfId="0" applyNumberFormat="1" applyFont="1" applyFill="1" applyBorder="1" applyAlignment="1">
      <alignment vertical="center"/>
    </xf>
    <xf numFmtId="49" fontId="7" fillId="2" borderId="8" xfId="0" applyNumberFormat="1" applyFont="1" applyFill="1" applyBorder="1" applyAlignment="1">
      <alignment vertical="center"/>
    </xf>
    <xf numFmtId="49" fontId="7" fillId="0" borderId="4" xfId="0" applyNumberFormat="1" applyFont="1" applyBorder="1" applyAlignment="1">
      <alignment horizontal="center" vertical="center" wrapText="1"/>
    </xf>
    <xf numFmtId="49" fontId="7" fillId="9" borderId="5" xfId="0" applyNumberFormat="1" applyFont="1" applyFill="1" applyBorder="1" applyAlignment="1">
      <alignment horizontal="center" vertical="center" wrapText="1"/>
    </xf>
    <xf numFmtId="49" fontId="7" fillId="0" borderId="6" xfId="0" applyNumberFormat="1" applyFont="1" applyBorder="1" applyAlignment="1">
      <alignment horizontal="center" vertical="center" wrapText="1"/>
    </xf>
    <xf numFmtId="49" fontId="7" fillId="9" borderId="5" xfId="0" applyNumberFormat="1" applyFont="1" applyFill="1" applyBorder="1" applyAlignment="1">
      <alignment horizontal="left" vertical="center" wrapText="1"/>
    </xf>
    <xf numFmtId="0" fontId="10" fillId="0" borderId="10" xfId="0" applyFont="1" applyBorder="1" applyAlignment="1">
      <alignment horizontal="center" vertical="center" wrapText="1"/>
    </xf>
    <xf numFmtId="49" fontId="11" fillId="9" borderId="8" xfId="0" applyNumberFormat="1" applyFont="1" applyFill="1" applyBorder="1" applyAlignment="1">
      <alignment horizontal="center" vertical="center" wrapText="1"/>
    </xf>
    <xf numFmtId="49" fontId="7" fillId="3" borderId="4" xfId="0" applyNumberFormat="1" applyFont="1" applyFill="1" applyBorder="1" applyAlignment="1">
      <alignment horizontal="center" vertical="center" wrapText="1"/>
    </xf>
    <xf numFmtId="49" fontId="7" fillId="3" borderId="5" xfId="0" applyNumberFormat="1" applyFont="1" applyFill="1" applyBorder="1" applyAlignment="1">
      <alignment horizontal="center" vertical="center" wrapText="1"/>
    </xf>
    <xf numFmtId="49" fontId="7" fillId="3" borderId="7" xfId="0" applyNumberFormat="1" applyFont="1" applyFill="1" applyBorder="1" applyAlignment="1">
      <alignment horizontal="center" vertical="center" wrapText="1"/>
    </xf>
    <xf numFmtId="49" fontId="10" fillId="3" borderId="5" xfId="0" applyNumberFormat="1" applyFont="1" applyFill="1" applyBorder="1" applyAlignment="1">
      <alignment horizontal="left" vertical="center" wrapText="1"/>
    </xf>
    <xf numFmtId="49" fontId="11" fillId="3" borderId="8" xfId="0" applyNumberFormat="1" applyFont="1" applyFill="1" applyBorder="1" applyAlignment="1">
      <alignment horizontal="center" vertical="center" wrapText="1"/>
    </xf>
    <xf numFmtId="49" fontId="7" fillId="9" borderId="7" xfId="0" applyNumberFormat="1" applyFont="1" applyFill="1" applyBorder="1" applyAlignment="1">
      <alignment horizontal="center" vertical="center" wrapText="1"/>
    </xf>
    <xf numFmtId="49" fontId="10" fillId="3" borderId="4" xfId="0" applyNumberFormat="1" applyFont="1" applyFill="1" applyBorder="1" applyAlignment="1">
      <alignment horizontal="center" vertical="center" wrapText="1"/>
    </xf>
    <xf numFmtId="49" fontId="7" fillId="3" borderId="6" xfId="0" applyNumberFormat="1" applyFont="1" applyFill="1" applyBorder="1" applyAlignment="1">
      <alignment horizontal="center" vertical="center" wrapText="1"/>
    </xf>
    <xf numFmtId="49" fontId="7" fillId="3" borderId="5" xfId="0" applyNumberFormat="1" applyFont="1" applyFill="1" applyBorder="1" applyAlignment="1">
      <alignment horizontal="left" vertical="center" wrapText="1"/>
    </xf>
    <xf numFmtId="49" fontId="10" fillId="0" borderId="4" xfId="0" applyNumberFormat="1" applyFont="1" applyBorder="1" applyAlignment="1">
      <alignment horizontal="center" vertical="center" wrapText="1"/>
    </xf>
    <xf numFmtId="49" fontId="10" fillId="9" borderId="7" xfId="0" applyNumberFormat="1"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9" fillId="4" borderId="23" xfId="1" applyFont="1" applyFill="1" applyBorder="1" applyAlignment="1">
      <alignment horizontal="center" vertical="center" wrapText="1"/>
    </xf>
    <xf numFmtId="0" fontId="8" fillId="0" borderId="22" xfId="0" applyFont="1" applyBorder="1" applyAlignment="1">
      <alignment horizontal="center" vertical="center" wrapText="1"/>
    </xf>
    <xf numFmtId="49" fontId="7" fillId="0" borderId="22" xfId="0" applyNumberFormat="1" applyFont="1" applyBorder="1" applyAlignment="1">
      <alignment horizontal="center" vertical="center" wrapText="1"/>
    </xf>
    <xf numFmtId="49" fontId="9" fillId="0" borderId="22" xfId="1" applyNumberFormat="1" applyFont="1" applyBorder="1" applyAlignment="1">
      <alignment horizontal="center" vertical="center" wrapText="1"/>
    </xf>
    <xf numFmtId="49" fontId="8" fillId="0" borderId="22" xfId="0" applyNumberFormat="1" applyFont="1" applyBorder="1" applyAlignment="1">
      <alignment horizontal="center" vertical="center" wrapText="1"/>
    </xf>
    <xf numFmtId="0" fontId="8" fillId="0" borderId="23" xfId="0" applyFont="1" applyBorder="1" applyAlignment="1">
      <alignment horizontal="center" vertical="center" wrapText="1"/>
    </xf>
    <xf numFmtId="49" fontId="7" fillId="3" borderId="22" xfId="0" applyNumberFormat="1" applyFont="1" applyFill="1" applyBorder="1" applyAlignment="1">
      <alignment horizontal="center" vertical="center" wrapText="1"/>
    </xf>
    <xf numFmtId="0" fontId="8" fillId="4" borderId="20" xfId="0" applyFont="1" applyFill="1" applyBorder="1" applyAlignment="1">
      <alignment horizontal="center" vertical="center" wrapText="1"/>
    </xf>
    <xf numFmtId="49" fontId="9" fillId="3" borderId="22" xfId="1" applyNumberFormat="1" applyFont="1" applyFill="1" applyBorder="1" applyAlignment="1">
      <alignment horizontal="center" vertical="center" wrapText="1"/>
    </xf>
    <xf numFmtId="49" fontId="8" fillId="3" borderId="22" xfId="0" applyNumberFormat="1" applyFont="1" applyFill="1" applyBorder="1" applyAlignment="1">
      <alignment horizontal="center" vertical="center" wrapText="1"/>
    </xf>
    <xf numFmtId="0" fontId="8" fillId="0" borderId="21" xfId="0" applyFont="1" applyBorder="1" applyAlignment="1">
      <alignment horizontal="center" vertical="center" wrapText="1"/>
    </xf>
    <xf numFmtId="49" fontId="7" fillId="3" borderId="18" xfId="0" applyNumberFormat="1" applyFont="1" applyFill="1" applyBorder="1" applyAlignment="1">
      <alignment horizontal="center" vertical="center" wrapText="1"/>
    </xf>
    <xf numFmtId="0" fontId="8" fillId="0" borderId="22" xfId="0" applyFont="1" applyBorder="1" applyAlignment="1">
      <alignment horizontal="center" vertical="center"/>
    </xf>
    <xf numFmtId="49" fontId="9" fillId="4" borderId="24" xfId="1" applyNumberFormat="1" applyFont="1" applyFill="1" applyBorder="1" applyAlignment="1">
      <alignment horizontal="center" vertical="center" wrapText="1"/>
    </xf>
    <xf numFmtId="49" fontId="8" fillId="4" borderId="18" xfId="0" applyNumberFormat="1" applyFont="1" applyFill="1" applyBorder="1" applyAlignment="1">
      <alignment horizontal="center" vertical="center" wrapText="1"/>
    </xf>
    <xf numFmtId="0" fontId="8" fillId="4" borderId="18" xfId="0" applyFont="1" applyFill="1" applyBorder="1" applyAlignment="1">
      <alignment horizontal="center" vertical="center" wrapText="1"/>
    </xf>
    <xf numFmtId="49" fontId="7" fillId="6" borderId="26" xfId="0" applyNumberFormat="1" applyFont="1" applyFill="1" applyBorder="1" applyAlignment="1">
      <alignment horizontal="center" vertical="center" wrapText="1"/>
    </xf>
    <xf numFmtId="0" fontId="1" fillId="0" borderId="0" xfId="0" applyFont="1" applyBorder="1" applyAlignment="1">
      <alignment vertical="center"/>
    </xf>
    <xf numFmtId="0" fontId="0" fillId="0" borderId="0" xfId="0" applyFont="1" applyBorder="1" applyAlignment="1">
      <alignment vertical="center"/>
    </xf>
    <xf numFmtId="0" fontId="0" fillId="0" borderId="30" xfId="0" applyFont="1" applyBorder="1" applyAlignment="1"/>
    <xf numFmtId="0" fontId="0" fillId="0" borderId="0" xfId="0" applyFont="1" applyBorder="1" applyAlignment="1"/>
    <xf numFmtId="0" fontId="5" fillId="0" borderId="0" xfId="0" applyFont="1" applyBorder="1" applyAlignment="1">
      <alignment horizontal="center" vertical="center" wrapText="1"/>
    </xf>
    <xf numFmtId="49" fontId="3" fillId="0" borderId="0"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0" fontId="0" fillId="0" borderId="31" xfId="0" applyFont="1" applyBorder="1" applyAlignment="1"/>
    <xf numFmtId="0" fontId="0" fillId="0" borderId="20" xfId="0" applyFont="1" applyBorder="1" applyAlignment="1"/>
    <xf numFmtId="49" fontId="3" fillId="2" borderId="32" xfId="0" applyNumberFormat="1" applyFont="1" applyFill="1" applyBorder="1" applyAlignment="1">
      <alignment vertical="center"/>
    </xf>
    <xf numFmtId="49" fontId="3" fillId="2" borderId="34" xfId="0" applyNumberFormat="1" applyFont="1" applyFill="1" applyBorder="1" applyAlignment="1">
      <alignment vertical="center"/>
    </xf>
    <xf numFmtId="49" fontId="5" fillId="2" borderId="33" xfId="0" applyNumberFormat="1" applyFont="1" applyFill="1" applyBorder="1" applyAlignment="1">
      <alignment vertical="center"/>
    </xf>
    <xf numFmtId="49" fontId="3" fillId="2" borderId="40" xfId="0" applyNumberFormat="1" applyFont="1" applyFill="1" applyBorder="1" applyAlignment="1">
      <alignment vertical="center"/>
    </xf>
    <xf numFmtId="49" fontId="5" fillId="2" borderId="34" xfId="0" applyNumberFormat="1" applyFont="1" applyFill="1" applyBorder="1" applyAlignment="1">
      <alignment vertical="center"/>
    </xf>
    <xf numFmtId="49" fontId="3" fillId="2" borderId="35" xfId="0" applyNumberFormat="1" applyFont="1" applyFill="1" applyBorder="1" applyAlignment="1">
      <alignment vertical="center"/>
    </xf>
    <xf numFmtId="49" fontId="3" fillId="2" borderId="39" xfId="0" applyNumberFormat="1" applyFont="1" applyFill="1" applyBorder="1" applyAlignment="1">
      <alignment vertical="center"/>
    </xf>
    <xf numFmtId="0" fontId="3" fillId="0" borderId="20" xfId="0" applyFont="1" applyBorder="1" applyAlignment="1">
      <alignment horizontal="center" vertical="center" wrapText="1"/>
    </xf>
    <xf numFmtId="49" fontId="3" fillId="9" borderId="0" xfId="0" applyNumberFormat="1" applyFont="1" applyFill="1" applyBorder="1" applyAlignment="1">
      <alignment horizontal="center" vertical="center" wrapText="1"/>
    </xf>
    <xf numFmtId="49" fontId="3" fillId="9" borderId="0" xfId="0" applyNumberFormat="1" applyFont="1" applyFill="1" applyBorder="1" applyAlignment="1">
      <alignment horizontal="left" vertical="center" wrapText="1"/>
    </xf>
    <xf numFmtId="49" fontId="3" fillId="0" borderId="19" xfId="0" applyNumberFormat="1" applyFont="1" applyBorder="1" applyAlignment="1">
      <alignment horizontal="center" vertical="center" wrapText="1"/>
    </xf>
    <xf numFmtId="49" fontId="3" fillId="9" borderId="15" xfId="0" applyNumberFormat="1" applyFont="1" applyFill="1" applyBorder="1" applyAlignment="1">
      <alignment horizontal="center" vertical="center" wrapText="1"/>
    </xf>
    <xf numFmtId="49" fontId="3" fillId="9" borderId="18" xfId="0" applyNumberFormat="1" applyFont="1" applyFill="1" applyBorder="1" applyAlignment="1">
      <alignment horizontal="center" vertical="center" wrapText="1"/>
    </xf>
    <xf numFmtId="49" fontId="3" fillId="0" borderId="41" xfId="0" applyNumberFormat="1" applyFont="1" applyBorder="1" applyAlignment="1">
      <alignment horizontal="center" vertical="center" wrapText="1"/>
    </xf>
    <xf numFmtId="49" fontId="3" fillId="9" borderId="15" xfId="0" applyNumberFormat="1" applyFont="1" applyFill="1" applyBorder="1" applyAlignment="1">
      <alignment horizontal="left" vertical="center" wrapText="1"/>
    </xf>
    <xf numFmtId="49" fontId="3" fillId="0" borderId="18" xfId="0" applyNumberFormat="1" applyFont="1" applyBorder="1" applyAlignment="1">
      <alignment horizontal="center" vertical="center" wrapText="1"/>
    </xf>
    <xf numFmtId="49" fontId="12" fillId="0" borderId="41" xfId="1" applyNumberFormat="1" applyFont="1" applyBorder="1" applyAlignment="1">
      <alignment horizontal="center" vertical="center" wrapText="1"/>
    </xf>
    <xf numFmtId="49" fontId="5" fillId="9" borderId="17"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5" fillId="3" borderId="43" xfId="0" applyNumberFormat="1" applyFont="1" applyFill="1" applyBorder="1" applyAlignment="1">
      <alignment horizontal="center" vertical="center" wrapText="1"/>
    </xf>
    <xf numFmtId="49" fontId="5" fillId="9" borderId="18" xfId="0" applyNumberFormat="1" applyFont="1" applyFill="1" applyBorder="1" applyAlignment="1">
      <alignment horizontal="center" vertical="center" wrapText="1"/>
    </xf>
    <xf numFmtId="49" fontId="12" fillId="4" borderId="0" xfId="1" applyNumberFormat="1" applyFont="1" applyFill="1" applyBorder="1" applyAlignment="1">
      <alignment horizontal="center" vertical="center" wrapText="1"/>
    </xf>
    <xf numFmtId="49" fontId="12" fillId="0" borderId="18" xfId="1" applyNumberFormat="1" applyFont="1" applyBorder="1" applyAlignment="1">
      <alignment horizontal="center" vertical="center" wrapText="1"/>
    </xf>
    <xf numFmtId="49" fontId="3" fillId="3" borderId="0" xfId="0" applyNumberFormat="1" applyFont="1" applyFill="1" applyBorder="1" applyAlignment="1">
      <alignment horizontal="left" vertical="center" wrapText="1"/>
    </xf>
    <xf numFmtId="49" fontId="3" fillId="9" borderId="18" xfId="0" applyNumberFormat="1" applyFont="1" applyFill="1" applyBorder="1" applyAlignment="1">
      <alignment horizontal="left" vertical="center" wrapText="1"/>
    </xf>
    <xf numFmtId="0" fontId="5" fillId="0" borderId="18" xfId="0" applyFont="1" applyBorder="1" applyAlignment="1">
      <alignment horizontal="center" vertical="center" wrapText="1"/>
    </xf>
    <xf numFmtId="49" fontId="3" fillId="3" borderId="31" xfId="0" applyNumberFormat="1" applyFont="1" applyFill="1" applyBorder="1" applyAlignment="1">
      <alignment horizontal="center" vertical="center" wrapText="1"/>
    </xf>
    <xf numFmtId="49" fontId="3" fillId="3" borderId="20" xfId="0" applyNumberFormat="1" applyFont="1" applyFill="1" applyBorder="1" applyAlignment="1">
      <alignment horizontal="center" vertical="center" wrapText="1"/>
    </xf>
    <xf numFmtId="49" fontId="3" fillId="3" borderId="18" xfId="0" applyNumberFormat="1" applyFont="1" applyFill="1" applyBorder="1" applyAlignment="1">
      <alignment horizontal="left" vertical="center" wrapText="1"/>
    </xf>
    <xf numFmtId="49" fontId="12" fillId="4" borderId="18" xfId="1" applyNumberFormat="1" applyFont="1" applyFill="1" applyBorder="1" applyAlignment="1">
      <alignment horizontal="center" vertical="center" wrapText="1"/>
    </xf>
    <xf numFmtId="49" fontId="6" fillId="3" borderId="18" xfId="0" applyNumberFormat="1" applyFont="1" applyFill="1" applyBorder="1" applyAlignment="1">
      <alignment horizontal="center" vertical="center" wrapText="1"/>
    </xf>
    <xf numFmtId="49" fontId="3" fillId="9" borderId="42" xfId="0" applyNumberFormat="1" applyFont="1" applyFill="1" applyBorder="1" applyAlignment="1">
      <alignment horizontal="center" vertical="center" wrapText="1"/>
    </xf>
    <xf numFmtId="49" fontId="3" fillId="0" borderId="42" xfId="0" applyNumberFormat="1" applyFont="1" applyBorder="1" applyAlignment="1">
      <alignment horizontal="center" vertical="center" wrapText="1"/>
    </xf>
    <xf numFmtId="49" fontId="3" fillId="3" borderId="2" xfId="0" applyNumberFormat="1" applyFont="1" applyFill="1" applyBorder="1" applyAlignment="1">
      <alignment horizontal="center" vertical="center" wrapText="1"/>
    </xf>
    <xf numFmtId="49" fontId="5" fillId="3" borderId="18" xfId="0" applyNumberFormat="1" applyFont="1" applyFill="1" applyBorder="1" applyAlignment="1">
      <alignment horizontal="center" vertical="center" wrapText="1"/>
    </xf>
    <xf numFmtId="49" fontId="3" fillId="9" borderId="45" xfId="0" applyNumberFormat="1" applyFont="1" applyFill="1" applyBorder="1" applyAlignment="1">
      <alignment horizontal="center" vertical="center" wrapText="1"/>
    </xf>
    <xf numFmtId="49" fontId="3" fillId="0" borderId="45" xfId="0" applyNumberFormat="1" applyFont="1" applyBorder="1" applyAlignment="1">
      <alignment horizontal="center" vertical="center" wrapText="1"/>
    </xf>
    <xf numFmtId="0" fontId="2" fillId="3" borderId="18" xfId="0" applyFont="1" applyFill="1" applyBorder="1" applyAlignment="1">
      <alignment horizontal="center" vertical="center" wrapText="1"/>
    </xf>
    <xf numFmtId="49" fontId="6" fillId="9" borderId="18" xfId="0" applyNumberFormat="1" applyFont="1" applyFill="1" applyBorder="1" applyAlignment="1">
      <alignment horizontal="center" vertical="center" wrapText="1"/>
    </xf>
    <xf numFmtId="49" fontId="5" fillId="8" borderId="18" xfId="0" applyNumberFormat="1" applyFont="1" applyFill="1" applyBorder="1" applyAlignment="1">
      <alignment horizontal="center" vertical="center" wrapText="1"/>
    </xf>
    <xf numFmtId="49" fontId="3" fillId="6" borderId="2" xfId="0" applyNumberFormat="1" applyFont="1" applyFill="1" applyBorder="1" applyAlignment="1">
      <alignment horizontal="center" vertical="center" wrapText="1"/>
    </xf>
    <xf numFmtId="49" fontId="3" fillId="6" borderId="18" xfId="0" applyNumberFormat="1" applyFont="1" applyFill="1" applyBorder="1" applyAlignment="1">
      <alignment horizontal="center" vertical="center" wrapText="1"/>
    </xf>
    <xf numFmtId="49" fontId="3" fillId="6" borderId="18" xfId="0" applyNumberFormat="1" applyFont="1" applyFill="1" applyBorder="1" applyAlignment="1">
      <alignment horizontal="left" vertical="center" wrapText="1"/>
    </xf>
    <xf numFmtId="49" fontId="5" fillId="4" borderId="18" xfId="0" applyNumberFormat="1" applyFont="1" applyFill="1" applyBorder="1" applyAlignment="1">
      <alignment horizontal="center" vertical="center" wrapText="1"/>
    </xf>
    <xf numFmtId="49" fontId="3" fillId="8" borderId="2" xfId="0" applyNumberFormat="1" applyFont="1" applyFill="1" applyBorder="1" applyAlignment="1">
      <alignment horizontal="center" vertical="center" wrapText="1"/>
    </xf>
    <xf numFmtId="49" fontId="3" fillId="4" borderId="18" xfId="0" applyNumberFormat="1" applyFont="1" applyFill="1" applyBorder="1" applyAlignment="1">
      <alignment horizontal="center" vertical="center" wrapText="1"/>
    </xf>
    <xf numFmtId="49" fontId="3" fillId="4" borderId="2" xfId="0" applyNumberFormat="1" applyFont="1" applyFill="1" applyBorder="1" applyAlignment="1">
      <alignment horizontal="center" vertical="center" wrapText="1"/>
    </xf>
    <xf numFmtId="49" fontId="5" fillId="8" borderId="18" xfId="0" applyNumberFormat="1" applyFont="1" applyFill="1" applyBorder="1" applyAlignment="1">
      <alignment horizontal="left" vertical="center" wrapText="1"/>
    </xf>
    <xf numFmtId="49" fontId="3" fillId="8" borderId="18" xfId="0" applyNumberFormat="1" applyFont="1" applyFill="1" applyBorder="1" applyAlignment="1">
      <alignment horizontal="center" vertical="center" wrapText="1"/>
    </xf>
    <xf numFmtId="49" fontId="6" fillId="6" borderId="18" xfId="0" applyNumberFormat="1" applyFont="1" applyFill="1" applyBorder="1" applyAlignment="1">
      <alignment horizontal="center" vertical="center" wrapText="1"/>
    </xf>
    <xf numFmtId="49" fontId="5" fillId="6" borderId="18" xfId="0" applyNumberFormat="1" applyFont="1" applyFill="1" applyBorder="1" applyAlignment="1">
      <alignment horizontal="center" vertical="center" wrapText="1"/>
    </xf>
    <xf numFmtId="49" fontId="3" fillId="8" borderId="18" xfId="0" applyNumberFormat="1" applyFont="1" applyFill="1" applyBorder="1" applyAlignment="1">
      <alignment horizontal="left" vertical="center" wrapText="1"/>
    </xf>
    <xf numFmtId="49" fontId="2" fillId="8" borderId="18" xfId="0" applyNumberFormat="1" applyFont="1" applyFill="1" applyBorder="1" applyAlignment="1">
      <alignment horizontal="center" vertical="center" wrapText="1"/>
    </xf>
    <xf numFmtId="49" fontId="2" fillId="6" borderId="18" xfId="0" applyNumberFormat="1" applyFont="1" applyFill="1" applyBorder="1" applyAlignment="1">
      <alignment horizontal="center" vertical="center" wrapText="1"/>
    </xf>
    <xf numFmtId="49" fontId="3" fillId="4" borderId="46" xfId="0" applyNumberFormat="1" applyFont="1" applyFill="1" applyBorder="1" applyAlignment="1">
      <alignment horizontal="center" vertical="center" wrapText="1"/>
    </xf>
    <xf numFmtId="49" fontId="3" fillId="6" borderId="45" xfId="0" applyNumberFormat="1" applyFont="1" applyFill="1" applyBorder="1" applyAlignment="1">
      <alignment horizontal="center" vertical="center" wrapText="1"/>
    </xf>
    <xf numFmtId="49" fontId="3" fillId="4" borderId="47" xfId="0" applyNumberFormat="1" applyFont="1" applyFill="1" applyBorder="1" applyAlignment="1">
      <alignment horizontal="center" vertical="center" wrapText="1"/>
    </xf>
    <xf numFmtId="49" fontId="3" fillId="4" borderId="47" xfId="0" applyNumberFormat="1" applyFont="1" applyFill="1" applyBorder="1" applyAlignment="1">
      <alignment horizontal="left" vertical="center" wrapText="1"/>
    </xf>
    <xf numFmtId="49" fontId="12" fillId="4" borderId="47" xfId="1" applyNumberFormat="1" applyFont="1" applyFill="1" applyBorder="1" applyAlignment="1">
      <alignment horizontal="center" vertical="center" wrapText="1"/>
    </xf>
    <xf numFmtId="49" fontId="2" fillId="4" borderId="18" xfId="0" applyNumberFormat="1" applyFont="1" applyFill="1" applyBorder="1" applyAlignment="1">
      <alignment horizontal="center" vertical="center" wrapText="1"/>
    </xf>
    <xf numFmtId="49" fontId="8" fillId="2" borderId="18" xfId="0" applyNumberFormat="1" applyFont="1" applyFill="1" applyBorder="1" applyAlignment="1">
      <alignment vertical="center" wrapText="1"/>
    </xf>
    <xf numFmtId="49" fontId="8" fillId="2" borderId="20" xfId="0" applyNumberFormat="1" applyFont="1" applyFill="1" applyBorder="1" applyAlignment="1">
      <alignment vertical="center" wrapText="1"/>
    </xf>
    <xf numFmtId="49" fontId="8" fillId="2" borderId="18" xfId="0" applyNumberFormat="1" applyFont="1" applyFill="1" applyBorder="1" applyAlignment="1">
      <alignment horizontal="left" vertical="center" wrapText="1"/>
    </xf>
    <xf numFmtId="0" fontId="9" fillId="0" borderId="18" xfId="1" applyFont="1" applyFill="1" applyBorder="1" applyAlignment="1">
      <alignment horizontal="center" vertical="center" wrapText="1"/>
    </xf>
    <xf numFmtId="49" fontId="8" fillId="0" borderId="20" xfId="0" applyNumberFormat="1" applyFont="1" applyFill="1" applyBorder="1" applyAlignment="1">
      <alignment horizontal="center" vertical="center" wrapText="1"/>
    </xf>
    <xf numFmtId="49" fontId="9" fillId="0" borderId="18" xfId="1"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7" fillId="0" borderId="18" xfId="0" applyNumberFormat="1"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4" borderId="30" xfId="0" applyFont="1" applyFill="1" applyBorder="1" applyAlignment="1">
      <alignment horizontal="center" vertical="center" wrapText="1"/>
    </xf>
    <xf numFmtId="49" fontId="7" fillId="5" borderId="18" xfId="0" applyNumberFormat="1" applyFont="1" applyFill="1" applyBorder="1" applyAlignment="1">
      <alignment horizontal="center" vertical="center" wrapText="1"/>
    </xf>
    <xf numFmtId="49" fontId="7" fillId="5" borderId="30" xfId="0" applyNumberFormat="1" applyFont="1" applyFill="1" applyBorder="1" applyAlignment="1">
      <alignment horizontal="center" vertical="center" wrapText="1"/>
    </xf>
    <xf numFmtId="49" fontId="9" fillId="5" borderId="18" xfId="1" applyNumberFormat="1" applyFont="1" applyFill="1" applyBorder="1" applyAlignment="1">
      <alignment horizontal="center" vertical="center" wrapText="1"/>
    </xf>
    <xf numFmtId="49" fontId="8" fillId="5" borderId="30" xfId="0" applyNumberFormat="1" applyFont="1" applyFill="1" applyBorder="1" applyAlignment="1">
      <alignment horizontal="center" vertical="center" wrapText="1"/>
    </xf>
    <xf numFmtId="0" fontId="9" fillId="4" borderId="18" xfId="1" applyFont="1" applyFill="1" applyBorder="1" applyAlignment="1">
      <alignment horizontal="center" vertical="center" wrapText="1"/>
    </xf>
    <xf numFmtId="49" fontId="9" fillId="4" borderId="18" xfId="1" applyNumberFormat="1" applyFont="1" applyFill="1" applyBorder="1" applyAlignment="1">
      <alignment horizontal="center" vertical="center" wrapText="1"/>
    </xf>
    <xf numFmtId="49" fontId="7" fillId="4" borderId="18" xfId="0" applyNumberFormat="1" applyFont="1" applyFill="1" applyBorder="1" applyAlignment="1">
      <alignment horizontal="center" vertical="center" wrapText="1"/>
    </xf>
    <xf numFmtId="49" fontId="7" fillId="4" borderId="30" xfId="0" applyNumberFormat="1" applyFont="1" applyFill="1" applyBorder="1" applyAlignment="1">
      <alignment horizontal="center" vertical="center" wrapText="1"/>
    </xf>
    <xf numFmtId="49" fontId="9" fillId="5" borderId="47" xfId="1" applyNumberFormat="1" applyFont="1" applyFill="1" applyBorder="1" applyAlignment="1">
      <alignment horizontal="center" vertical="center" wrapText="1"/>
    </xf>
    <xf numFmtId="0" fontId="9" fillId="4" borderId="48" xfId="1" applyFont="1" applyFill="1" applyBorder="1" applyAlignment="1">
      <alignment horizontal="center" vertical="center" wrapText="1"/>
    </xf>
    <xf numFmtId="49" fontId="8" fillId="4" borderId="30" xfId="0" applyNumberFormat="1" applyFont="1" applyFill="1" applyBorder="1" applyAlignment="1">
      <alignment horizontal="center" vertical="center" wrapText="1"/>
    </xf>
    <xf numFmtId="49" fontId="8" fillId="5" borderId="18"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9" fillId="0" borderId="18" xfId="1" applyFont="1" applyBorder="1" applyAlignment="1">
      <alignment horizontal="center" vertical="center"/>
    </xf>
    <xf numFmtId="49" fontId="8" fillId="0" borderId="47" xfId="0" applyNumberFormat="1" applyFont="1" applyFill="1" applyBorder="1" applyAlignment="1">
      <alignment horizontal="center" vertical="center" wrapText="1"/>
    </xf>
    <xf numFmtId="49" fontId="7" fillId="0" borderId="18" xfId="0" applyNumberFormat="1" applyFont="1" applyBorder="1" applyAlignment="1">
      <alignment horizontal="center" vertical="center" wrapText="1"/>
    </xf>
    <xf numFmtId="49" fontId="7" fillId="4" borderId="27" xfId="0" applyNumberFormat="1" applyFont="1" applyFill="1" applyBorder="1" applyAlignment="1">
      <alignment horizontal="center" vertical="center" wrapText="1"/>
    </xf>
    <xf numFmtId="49" fontId="8" fillId="4" borderId="25" xfId="0" applyNumberFormat="1" applyFont="1" applyFill="1" applyBorder="1" applyAlignment="1">
      <alignment horizontal="center" vertical="center" wrapText="1"/>
    </xf>
    <xf numFmtId="49" fontId="8" fillId="5" borderId="19" xfId="0" applyNumberFormat="1" applyFont="1" applyFill="1" applyBorder="1" applyAlignment="1">
      <alignment horizontal="center" vertical="center" wrapText="1"/>
    </xf>
    <xf numFmtId="49" fontId="8" fillId="0" borderId="18" xfId="0" applyNumberFormat="1" applyFont="1" applyBorder="1" applyAlignment="1">
      <alignment horizontal="center" vertical="center" wrapText="1"/>
    </xf>
    <xf numFmtId="0" fontId="8" fillId="0" borderId="18" xfId="0" applyFont="1" applyBorder="1" applyAlignment="1">
      <alignment horizontal="center" vertical="center" wrapText="1"/>
    </xf>
    <xf numFmtId="49" fontId="7" fillId="0" borderId="20" xfId="0" applyNumberFormat="1" applyFont="1" applyBorder="1" applyAlignment="1">
      <alignment horizontal="center" vertical="center" wrapText="1"/>
    </xf>
    <xf numFmtId="49" fontId="9" fillId="0" borderId="20" xfId="1" applyNumberFormat="1" applyFont="1" applyBorder="1" applyAlignment="1">
      <alignment horizontal="center" vertical="center" wrapText="1"/>
    </xf>
    <xf numFmtId="49" fontId="7" fillId="0" borderId="30" xfId="0" applyNumberFormat="1" applyFont="1" applyBorder="1" applyAlignment="1">
      <alignment horizontal="center" vertical="center" wrapText="1"/>
    </xf>
    <xf numFmtId="0" fontId="8" fillId="0" borderId="20" xfId="0" applyFont="1" applyBorder="1" applyAlignment="1">
      <alignment horizontal="center" vertical="center" wrapText="1"/>
    </xf>
    <xf numFmtId="49" fontId="9" fillId="0" borderId="18" xfId="1" applyNumberFormat="1" applyFont="1" applyBorder="1" applyAlignment="1">
      <alignment horizontal="center" vertical="center" wrapText="1"/>
    </xf>
    <xf numFmtId="49" fontId="8" fillId="3" borderId="18" xfId="0" applyNumberFormat="1" applyFont="1" applyFill="1" applyBorder="1" applyAlignment="1">
      <alignment horizontal="center" vertical="center" wrapText="1"/>
    </xf>
    <xf numFmtId="49" fontId="9" fillId="3" borderId="30" xfId="1" applyNumberFormat="1" applyFont="1" applyFill="1" applyBorder="1" applyAlignment="1">
      <alignment horizontal="center" vertical="center" wrapText="1"/>
    </xf>
    <xf numFmtId="49" fontId="7" fillId="3" borderId="30" xfId="0" applyNumberFormat="1" applyFont="1" applyFill="1" applyBorder="1" applyAlignment="1">
      <alignment horizontal="center" vertical="center" wrapText="1"/>
    </xf>
    <xf numFmtId="49" fontId="8" fillId="3" borderId="30" xfId="0" applyNumberFormat="1" applyFont="1" applyFill="1" applyBorder="1" applyAlignment="1">
      <alignment horizontal="center" vertical="center" wrapText="1"/>
    </xf>
    <xf numFmtId="49" fontId="7" fillId="3" borderId="20" xfId="0" applyNumberFormat="1" applyFont="1" applyFill="1" applyBorder="1" applyAlignment="1">
      <alignment horizontal="center" vertical="center" wrapText="1"/>
    </xf>
    <xf numFmtId="49" fontId="9" fillId="3" borderId="18" xfId="1" applyNumberFormat="1" applyFont="1" applyFill="1" applyBorder="1" applyAlignment="1">
      <alignment horizontal="center" vertical="center" wrapText="1"/>
    </xf>
    <xf numFmtId="49" fontId="8" fillId="3" borderId="20" xfId="0" applyNumberFormat="1" applyFont="1" applyFill="1" applyBorder="1" applyAlignment="1">
      <alignment horizontal="center" vertical="center" wrapText="1"/>
    </xf>
    <xf numFmtId="0" fontId="8" fillId="7" borderId="18" xfId="0" applyFont="1" applyFill="1" applyBorder="1" applyAlignment="1">
      <alignment horizontal="center" vertical="center" wrapText="1"/>
    </xf>
    <xf numFmtId="49" fontId="7" fillId="7" borderId="18" xfId="0" applyNumberFormat="1" applyFont="1" applyFill="1" applyBorder="1" applyAlignment="1">
      <alignment horizontal="center" vertical="center" wrapText="1"/>
    </xf>
    <xf numFmtId="49" fontId="7" fillId="6" borderId="18" xfId="0" applyNumberFormat="1" applyFont="1" applyFill="1" applyBorder="1" applyAlignment="1">
      <alignment horizontal="center" vertical="center" wrapText="1"/>
    </xf>
    <xf numFmtId="0" fontId="8" fillId="7" borderId="18" xfId="0" applyFont="1" applyFill="1" applyBorder="1" applyAlignment="1">
      <alignment horizontal="center" vertical="center"/>
    </xf>
    <xf numFmtId="49" fontId="9" fillId="7" borderId="18" xfId="1" applyNumberFormat="1" applyFont="1" applyFill="1" applyBorder="1" applyAlignment="1">
      <alignment horizontal="center" vertical="center" wrapText="1"/>
    </xf>
    <xf numFmtId="49" fontId="9" fillId="6" borderId="18" xfId="1" applyNumberFormat="1" applyFont="1" applyFill="1" applyBorder="1" applyAlignment="1">
      <alignment horizontal="center" vertical="center" wrapText="1"/>
    </xf>
    <xf numFmtId="49" fontId="9" fillId="4" borderId="20" xfId="1" applyNumberFormat="1" applyFont="1" applyFill="1" applyBorder="1" applyAlignment="1">
      <alignment horizontal="center" vertical="center" wrapText="1"/>
    </xf>
    <xf numFmtId="49" fontId="7" fillId="4" borderId="20" xfId="0" applyNumberFormat="1"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7" borderId="20" xfId="0" applyFont="1" applyFill="1" applyBorder="1" applyAlignment="1">
      <alignment horizontal="center" vertical="center" wrapText="1"/>
    </xf>
    <xf numFmtId="49" fontId="7" fillId="6" borderId="20" xfId="0" applyNumberFormat="1" applyFont="1" applyFill="1" applyBorder="1" applyAlignment="1">
      <alignment horizontal="center" vertical="center" wrapText="1"/>
    </xf>
    <xf numFmtId="49" fontId="8" fillId="6" borderId="18" xfId="0" applyNumberFormat="1" applyFont="1" applyFill="1" applyBorder="1" applyAlignment="1">
      <alignment horizontal="center" vertical="center" wrapText="1"/>
    </xf>
    <xf numFmtId="0" fontId="8" fillId="7" borderId="17" xfId="0" applyFont="1" applyFill="1" applyBorder="1" applyAlignment="1">
      <alignment horizontal="center" vertical="center" wrapText="1"/>
    </xf>
    <xf numFmtId="0" fontId="8" fillId="4" borderId="57" xfId="0" applyFont="1" applyFill="1" applyBorder="1" applyAlignment="1">
      <alignment horizontal="center" vertical="center" wrapText="1"/>
    </xf>
    <xf numFmtId="49" fontId="9" fillId="4" borderId="30" xfId="1" applyNumberFormat="1" applyFont="1" applyFill="1" applyBorder="1" applyAlignment="1">
      <alignment horizontal="center" vertical="center" wrapText="1"/>
    </xf>
    <xf numFmtId="49" fontId="8" fillId="6" borderId="20" xfId="0" applyNumberFormat="1" applyFont="1" applyFill="1" applyBorder="1" applyAlignment="1">
      <alignment horizontal="center" vertical="center" wrapText="1"/>
    </xf>
    <xf numFmtId="49" fontId="8" fillId="5" borderId="20" xfId="0" applyNumberFormat="1" applyFont="1" applyFill="1" applyBorder="1" applyAlignment="1">
      <alignment horizontal="center" vertical="center" wrapText="1"/>
    </xf>
    <xf numFmtId="49" fontId="7" fillId="5" borderId="20" xfId="0" applyNumberFormat="1" applyFont="1" applyFill="1" applyBorder="1" applyAlignment="1">
      <alignment horizontal="center" vertical="center" wrapText="1"/>
    </xf>
    <xf numFmtId="0" fontId="8" fillId="7" borderId="30" xfId="0" applyFont="1" applyFill="1" applyBorder="1" applyAlignment="1">
      <alignment horizontal="center" vertical="center" wrapText="1"/>
    </xf>
    <xf numFmtId="49" fontId="8" fillId="6" borderId="30" xfId="0" applyNumberFormat="1" applyFont="1" applyFill="1" applyBorder="1" applyAlignment="1">
      <alignment horizontal="center" vertical="center" wrapText="1"/>
    </xf>
    <xf numFmtId="49" fontId="7" fillId="6" borderId="30" xfId="0" applyNumberFormat="1" applyFont="1" applyFill="1" applyBorder="1" applyAlignment="1">
      <alignment horizontal="center" vertical="center" wrapText="1"/>
    </xf>
    <xf numFmtId="0" fontId="9" fillId="7" borderId="18" xfId="1" applyFont="1" applyFill="1" applyBorder="1" applyAlignment="1">
      <alignment horizontal="center" vertical="center" wrapText="1"/>
    </xf>
    <xf numFmtId="49" fontId="8" fillId="4" borderId="20" xfId="0" applyNumberFormat="1" applyFont="1" applyFill="1" applyBorder="1" applyAlignment="1">
      <alignment horizontal="center" vertical="center" wrapText="1"/>
    </xf>
    <xf numFmtId="49" fontId="7" fillId="8" borderId="20" xfId="0" applyNumberFormat="1" applyFont="1" applyFill="1" applyBorder="1" applyAlignment="1">
      <alignment horizontal="center" vertical="center" wrapText="1"/>
    </xf>
    <xf numFmtId="49" fontId="7" fillId="8" borderId="18" xfId="0" applyNumberFormat="1" applyFont="1" applyFill="1" applyBorder="1" applyAlignment="1">
      <alignment horizontal="center" vertical="center" wrapText="1"/>
    </xf>
    <xf numFmtId="49" fontId="7" fillId="6" borderId="56" xfId="0" applyNumberFormat="1" applyFont="1" applyFill="1" applyBorder="1" applyAlignment="1">
      <alignment horizontal="center" vertical="center" wrapText="1"/>
    </xf>
    <xf numFmtId="0" fontId="14" fillId="0" borderId="0" xfId="2" applyFont="1" applyAlignment="1"/>
    <xf numFmtId="49" fontId="16" fillId="9" borderId="5" xfId="2" applyNumberFormat="1" applyFont="1" applyFill="1" applyBorder="1" applyAlignment="1">
      <alignment horizontal="center" vertical="center" wrapText="1"/>
    </xf>
    <xf numFmtId="49" fontId="16" fillId="0" borderId="4" xfId="2" applyNumberFormat="1" applyFont="1" applyBorder="1" applyAlignment="1">
      <alignment horizontal="center" vertical="center" wrapText="1"/>
    </xf>
    <xf numFmtId="49" fontId="16" fillId="3" borderId="0" xfId="2" applyNumberFormat="1" applyFont="1" applyFill="1" applyAlignment="1">
      <alignment horizontal="center" vertical="center" wrapText="1"/>
    </xf>
    <xf numFmtId="49" fontId="16" fillId="0" borderId="18" xfId="2" applyNumberFormat="1" applyFont="1" applyBorder="1" applyAlignment="1">
      <alignment horizontal="center" vertical="center" wrapText="1"/>
    </xf>
    <xf numFmtId="49" fontId="16" fillId="9" borderId="18" xfId="2" applyNumberFormat="1" applyFont="1" applyFill="1" applyBorder="1" applyAlignment="1">
      <alignment horizontal="center" vertical="center" wrapText="1"/>
    </xf>
    <xf numFmtId="49" fontId="16" fillId="0" borderId="2" xfId="2" applyNumberFormat="1" applyFont="1" applyBorder="1" applyAlignment="1">
      <alignment horizontal="center" vertical="center" wrapText="1"/>
    </xf>
    <xf numFmtId="49" fontId="16" fillId="9" borderId="2" xfId="2" applyNumberFormat="1" applyFont="1" applyFill="1" applyBorder="1" applyAlignment="1">
      <alignment horizontal="center" vertical="center" wrapText="1"/>
    </xf>
    <xf numFmtId="0" fontId="16" fillId="0" borderId="18" xfId="2" applyFont="1" applyBorder="1" applyAlignment="1">
      <alignment horizontal="center" vertical="center" wrapText="1"/>
    </xf>
    <xf numFmtId="49" fontId="16" fillId="3" borderId="18" xfId="2" applyNumberFormat="1" applyFont="1" applyFill="1" applyBorder="1" applyAlignment="1">
      <alignment horizontal="center" vertical="center" wrapText="1"/>
    </xf>
    <xf numFmtId="49" fontId="16" fillId="3" borderId="42" xfId="2" applyNumberFormat="1" applyFont="1" applyFill="1" applyBorder="1" applyAlignment="1">
      <alignment horizontal="center" vertical="center" wrapText="1"/>
    </xf>
    <xf numFmtId="49" fontId="16" fillId="3" borderId="18" xfId="2" applyNumberFormat="1" applyFont="1" applyFill="1" applyBorder="1" applyAlignment="1">
      <alignment horizontal="left" vertical="center" wrapText="1"/>
    </xf>
    <xf numFmtId="49" fontId="17" fillId="0" borderId="44" xfId="2" applyNumberFormat="1" applyFont="1" applyBorder="1" applyAlignment="1">
      <alignment horizontal="center" vertical="center" wrapText="1"/>
    </xf>
    <xf numFmtId="49" fontId="16" fillId="9" borderId="18" xfId="2" applyNumberFormat="1" applyFont="1" applyFill="1" applyBorder="1" applyAlignment="1">
      <alignment horizontal="left" vertical="center" wrapText="1"/>
    </xf>
    <xf numFmtId="49" fontId="16" fillId="3" borderId="0" xfId="2" applyNumberFormat="1" applyFont="1" applyFill="1" applyBorder="1" applyAlignment="1">
      <alignment horizontal="center" vertical="center" wrapText="1"/>
    </xf>
    <xf numFmtId="0" fontId="16" fillId="0" borderId="0" xfId="2" applyFont="1" applyBorder="1" applyAlignment="1">
      <alignment horizontal="center" vertical="center" wrapText="1"/>
    </xf>
    <xf numFmtId="49" fontId="16" fillId="9" borderId="13" xfId="2" applyNumberFormat="1" applyFont="1" applyFill="1" applyBorder="1" applyAlignment="1">
      <alignment horizontal="center" vertical="center" wrapText="1"/>
    </xf>
    <xf numFmtId="49" fontId="19" fillId="3" borderId="18" xfId="2" applyNumberFormat="1" applyFont="1" applyFill="1" applyBorder="1" applyAlignment="1">
      <alignment horizontal="center" vertical="center" wrapText="1"/>
    </xf>
    <xf numFmtId="49" fontId="16" fillId="9" borderId="0" xfId="2" applyNumberFormat="1" applyFont="1" applyFill="1" applyBorder="1" applyAlignment="1">
      <alignment horizontal="center" vertical="center" wrapText="1"/>
    </xf>
    <xf numFmtId="49" fontId="16" fillId="9" borderId="0" xfId="2" applyNumberFormat="1" applyFont="1" applyFill="1" applyBorder="1" applyAlignment="1">
      <alignment horizontal="left" vertical="center" wrapText="1"/>
    </xf>
    <xf numFmtId="49" fontId="16" fillId="0" borderId="0" xfId="2" applyNumberFormat="1" applyFont="1" applyBorder="1" applyAlignment="1">
      <alignment horizontal="center" vertical="center" wrapText="1"/>
    </xf>
    <xf numFmtId="49" fontId="13" fillId="0" borderId="18" xfId="2" applyNumberFormat="1" applyFont="1" applyBorder="1" applyAlignment="1">
      <alignment horizontal="center" vertical="center" wrapText="1"/>
    </xf>
    <xf numFmtId="49" fontId="17" fillId="3" borderId="18" xfId="2" applyNumberFormat="1" applyFont="1" applyFill="1" applyBorder="1" applyAlignment="1">
      <alignment horizontal="center" vertical="center" wrapText="1"/>
    </xf>
    <xf numFmtId="0" fontId="21" fillId="3" borderId="18" xfId="2" applyFont="1" applyFill="1" applyBorder="1" applyAlignment="1">
      <alignment horizontal="center" vertical="center" wrapText="1"/>
    </xf>
    <xf numFmtId="49" fontId="19" fillId="9" borderId="13" xfId="2" applyNumberFormat="1" applyFont="1" applyFill="1" applyBorder="1" applyAlignment="1">
      <alignment horizontal="center" vertical="center" wrapText="1"/>
    </xf>
    <xf numFmtId="49" fontId="20" fillId="3" borderId="18" xfId="2" applyNumberFormat="1" applyFont="1" applyFill="1" applyBorder="1" applyAlignment="1">
      <alignment horizontal="center" vertical="center" wrapText="1"/>
    </xf>
    <xf numFmtId="49" fontId="20" fillId="9" borderId="18" xfId="2" applyNumberFormat="1" applyFont="1" applyFill="1" applyBorder="1" applyAlignment="1">
      <alignment horizontal="center" vertical="center" wrapText="1"/>
    </xf>
    <xf numFmtId="49" fontId="16" fillId="3" borderId="45" xfId="2" applyNumberFormat="1" applyFont="1" applyFill="1" applyBorder="1" applyAlignment="1">
      <alignment horizontal="center" vertical="center" wrapText="1"/>
    </xf>
    <xf numFmtId="49" fontId="16" fillId="3" borderId="2" xfId="2" applyNumberFormat="1" applyFont="1" applyFill="1" applyBorder="1" applyAlignment="1">
      <alignment horizontal="center" vertical="center" wrapText="1"/>
    </xf>
    <xf numFmtId="49" fontId="20" fillId="9" borderId="59" xfId="2" applyNumberFormat="1" applyFont="1" applyFill="1" applyBorder="1" applyAlignment="1">
      <alignment horizontal="center" vertical="center" wrapText="1"/>
    </xf>
    <xf numFmtId="49" fontId="16" fillId="0" borderId="18" xfId="2" applyNumberFormat="1" applyFont="1" applyFill="1" applyBorder="1" applyAlignment="1">
      <alignment horizontal="center" vertical="center" wrapText="1"/>
    </xf>
    <xf numFmtId="49" fontId="16" fillId="0" borderId="18" xfId="2" applyNumberFormat="1" applyFont="1" applyFill="1" applyBorder="1" applyAlignment="1">
      <alignment horizontal="left" vertical="center" wrapText="1"/>
    </xf>
    <xf numFmtId="49" fontId="20" fillId="0" borderId="18" xfId="2" applyNumberFormat="1" applyFont="1" applyFill="1" applyBorder="1" applyAlignment="1">
      <alignment horizontal="center" vertical="center" wrapText="1"/>
    </xf>
    <xf numFmtId="0" fontId="14" fillId="0" borderId="0" xfId="2" applyFont="1" applyFill="1" applyAlignment="1"/>
    <xf numFmtId="49" fontId="22" fillId="3" borderId="18" xfId="1" applyNumberFormat="1" applyFont="1" applyFill="1" applyBorder="1" applyAlignment="1">
      <alignment horizontal="center" vertical="center" wrapText="1"/>
    </xf>
    <xf numFmtId="49" fontId="15" fillId="0" borderId="0" xfId="2" applyNumberFormat="1" applyFont="1" applyBorder="1" applyAlignment="1">
      <alignment horizontal="center" vertical="center" wrapText="1"/>
    </xf>
    <xf numFmtId="49" fontId="15" fillId="3" borderId="18" xfId="2" applyNumberFormat="1" applyFont="1" applyFill="1" applyBorder="1" applyAlignment="1">
      <alignment horizontal="center" vertical="center" wrapText="1"/>
    </xf>
    <xf numFmtId="49" fontId="15" fillId="0" borderId="18" xfId="2" applyNumberFormat="1" applyFont="1" applyFill="1" applyBorder="1" applyAlignment="1">
      <alignment horizontal="center" vertical="center" wrapText="1"/>
    </xf>
    <xf numFmtId="49" fontId="15" fillId="0" borderId="18" xfId="2" applyNumberFormat="1" applyFont="1" applyBorder="1" applyAlignment="1">
      <alignment horizontal="center" vertical="center" wrapText="1"/>
    </xf>
    <xf numFmtId="49" fontId="16" fillId="2" borderId="18" xfId="2" applyNumberFormat="1" applyFont="1" applyFill="1" applyBorder="1" applyAlignment="1">
      <alignment vertical="center"/>
    </xf>
    <xf numFmtId="49" fontId="16" fillId="2" borderId="45" xfId="2" applyNumberFormat="1" applyFont="1" applyFill="1" applyBorder="1" applyAlignment="1">
      <alignment vertical="center"/>
    </xf>
    <xf numFmtId="49" fontId="17" fillId="2" borderId="18" xfId="2" applyNumberFormat="1" applyFont="1" applyFill="1" applyBorder="1" applyAlignment="1">
      <alignment vertical="center"/>
    </xf>
    <xf numFmtId="49" fontId="17" fillId="2" borderId="45" xfId="2" applyNumberFormat="1" applyFont="1" applyFill="1" applyBorder="1" applyAlignment="1">
      <alignment vertical="center"/>
    </xf>
    <xf numFmtId="49" fontId="16" fillId="2" borderId="58" xfId="2" applyNumberFormat="1" applyFont="1" applyFill="1" applyBorder="1" applyAlignment="1">
      <alignment vertical="center"/>
    </xf>
    <xf numFmtId="49" fontId="17" fillId="3" borderId="42" xfId="2" applyNumberFormat="1" applyFont="1" applyFill="1" applyBorder="1" applyAlignment="1">
      <alignment horizontal="center" vertical="center" wrapText="1"/>
    </xf>
    <xf numFmtId="49" fontId="19" fillId="9" borderId="18" xfId="2" applyNumberFormat="1" applyFont="1" applyFill="1" applyBorder="1" applyAlignment="1">
      <alignment horizontal="center" vertical="center" wrapText="1"/>
    </xf>
    <xf numFmtId="49" fontId="16" fillId="10" borderId="18" xfId="2" applyNumberFormat="1" applyFont="1" applyFill="1" applyBorder="1" applyAlignment="1">
      <alignment horizontal="center" vertical="center" wrapText="1"/>
    </xf>
    <xf numFmtId="49" fontId="16" fillId="0" borderId="45" xfId="2" applyNumberFormat="1" applyFont="1" applyBorder="1" applyAlignment="1">
      <alignment horizontal="center" vertical="center" wrapText="1"/>
    </xf>
    <xf numFmtId="49" fontId="16" fillId="11" borderId="18" xfId="2" applyNumberFormat="1" applyFont="1" applyFill="1" applyBorder="1" applyAlignment="1">
      <alignment horizontal="center" vertical="center" wrapText="1"/>
    </xf>
    <xf numFmtId="49" fontId="16" fillId="9" borderId="45" xfId="2" applyNumberFormat="1" applyFont="1" applyFill="1" applyBorder="1" applyAlignment="1">
      <alignment horizontal="center" vertical="center" wrapText="1"/>
    </xf>
    <xf numFmtId="49" fontId="17" fillId="9" borderId="45" xfId="2" applyNumberFormat="1" applyFont="1" applyFill="1" applyBorder="1" applyAlignment="1">
      <alignment horizontal="center" vertical="center" wrapText="1"/>
    </xf>
    <xf numFmtId="49" fontId="17" fillId="11" borderId="18" xfId="2" applyNumberFormat="1" applyFont="1" applyFill="1" applyBorder="1" applyAlignment="1">
      <alignment horizontal="center" vertical="center" wrapText="1"/>
    </xf>
    <xf numFmtId="49" fontId="17" fillId="0" borderId="18" xfId="2" applyNumberFormat="1" applyFont="1" applyFill="1" applyBorder="1" applyAlignment="1">
      <alignment horizontal="center" vertical="center" wrapText="1"/>
    </xf>
    <xf numFmtId="49" fontId="23" fillId="10" borderId="18" xfId="2" applyNumberFormat="1" applyFont="1" applyFill="1" applyBorder="1" applyAlignment="1">
      <alignment horizontal="center" vertical="center" wrapText="1"/>
    </xf>
    <xf numFmtId="49" fontId="23" fillId="11" borderId="45" xfId="2" applyNumberFormat="1" applyFont="1" applyFill="1" applyBorder="1" applyAlignment="1">
      <alignment horizontal="center" vertical="center" wrapText="1"/>
    </xf>
    <xf numFmtId="49" fontId="23" fillId="11" borderId="18" xfId="2" applyNumberFormat="1" applyFont="1" applyFill="1" applyBorder="1" applyAlignment="1">
      <alignment horizontal="center" vertical="center" wrapText="1"/>
    </xf>
    <xf numFmtId="0" fontId="21" fillId="10" borderId="0" xfId="2" applyFont="1" applyFill="1" applyAlignment="1">
      <alignment horizontal="center" vertical="center" wrapText="1"/>
    </xf>
    <xf numFmtId="0" fontId="24" fillId="10" borderId="18" xfId="2" applyFont="1" applyFill="1" applyBorder="1" applyAlignment="1">
      <alignment horizontal="center" vertical="center" wrapText="1"/>
    </xf>
    <xf numFmtId="49" fontId="23" fillId="11" borderId="18" xfId="2" applyNumberFormat="1" applyFont="1" applyFill="1" applyBorder="1" applyAlignment="1">
      <alignment horizontal="left" vertical="center" wrapText="1"/>
    </xf>
    <xf numFmtId="49" fontId="24" fillId="11" borderId="18" xfId="2" applyNumberFormat="1" applyFont="1" applyFill="1" applyBorder="1" applyAlignment="1">
      <alignment horizontal="center" vertical="center" wrapText="1"/>
    </xf>
    <xf numFmtId="49" fontId="22" fillId="11" borderId="18" xfId="2" applyNumberFormat="1" applyFont="1" applyFill="1" applyBorder="1" applyAlignment="1">
      <alignment horizontal="center" vertical="center" wrapText="1"/>
    </xf>
    <xf numFmtId="0" fontId="24" fillId="0" borderId="0" xfId="2" applyFont="1" applyAlignment="1"/>
    <xf numFmtId="49" fontId="23" fillId="0" borderId="18" xfId="2" applyNumberFormat="1" applyFont="1" applyFill="1" applyBorder="1" applyAlignment="1">
      <alignment horizontal="center" vertical="center" wrapText="1"/>
    </xf>
    <xf numFmtId="49" fontId="24" fillId="0" borderId="18" xfId="2" applyNumberFormat="1" applyFont="1" applyFill="1" applyBorder="1" applyAlignment="1">
      <alignment horizontal="center" vertical="center" wrapText="1"/>
    </xf>
    <xf numFmtId="49" fontId="23" fillId="0" borderId="18" xfId="2" applyNumberFormat="1" applyFont="1" applyFill="1" applyBorder="1" applyAlignment="1">
      <alignment horizontal="left" vertical="center" wrapText="1"/>
    </xf>
    <xf numFmtId="49" fontId="23" fillId="0" borderId="42" xfId="2" applyNumberFormat="1" applyFont="1" applyFill="1" applyBorder="1" applyAlignment="1">
      <alignment horizontal="center" vertical="center" wrapText="1"/>
    </xf>
    <xf numFmtId="49" fontId="22" fillId="0" borderId="18" xfId="2" applyNumberFormat="1" applyFont="1" applyFill="1" applyBorder="1" applyAlignment="1">
      <alignment horizontal="center" vertical="center" wrapText="1"/>
    </xf>
    <xf numFmtId="0" fontId="24" fillId="0" borderId="0" xfId="2" applyFont="1" applyFill="1" applyAlignment="1"/>
    <xf numFmtId="49" fontId="22" fillId="10" borderId="18" xfId="2" applyNumberFormat="1" applyFont="1" applyFill="1" applyBorder="1" applyAlignment="1">
      <alignment horizontal="center" vertical="center" wrapText="1"/>
    </xf>
    <xf numFmtId="49" fontId="21" fillId="11" borderId="18" xfId="2" applyNumberFormat="1" applyFont="1" applyFill="1" applyBorder="1" applyAlignment="1">
      <alignment horizontal="center" vertical="center" wrapText="1"/>
    </xf>
    <xf numFmtId="49" fontId="23" fillId="11" borderId="0" xfId="2" applyNumberFormat="1" applyFont="1" applyFill="1" applyBorder="1" applyAlignment="1">
      <alignment horizontal="center" vertical="center" wrapText="1"/>
    </xf>
    <xf numFmtId="49" fontId="23" fillId="10" borderId="0" xfId="2" applyNumberFormat="1" applyFont="1" applyFill="1" applyBorder="1" applyAlignment="1">
      <alignment horizontal="center" vertical="center" wrapText="1"/>
    </xf>
    <xf numFmtId="49" fontId="23" fillId="10" borderId="45" xfId="2" applyNumberFormat="1" applyFont="1" applyFill="1" applyBorder="1" applyAlignment="1">
      <alignment horizontal="center" vertical="center" wrapText="1"/>
    </xf>
    <xf numFmtId="49" fontId="24" fillId="11" borderId="0" xfId="2" applyNumberFormat="1" applyFont="1" applyFill="1" applyBorder="1" applyAlignment="1">
      <alignment horizontal="center" vertical="center" wrapText="1"/>
    </xf>
    <xf numFmtId="49" fontId="21" fillId="0" borderId="18" xfId="2" applyNumberFormat="1" applyFont="1" applyFill="1" applyBorder="1" applyAlignment="1">
      <alignment horizontal="center" vertical="center" wrapText="1"/>
    </xf>
    <xf numFmtId="49" fontId="25" fillId="0" borderId="13" xfId="2" applyNumberFormat="1" applyFont="1" applyFill="1" applyBorder="1" applyAlignment="1">
      <alignment horizontal="center" vertical="center" wrapText="1"/>
    </xf>
    <xf numFmtId="49" fontId="17" fillId="10" borderId="18" xfId="2" applyNumberFormat="1" applyFont="1" applyFill="1" applyBorder="1" applyAlignment="1">
      <alignment horizontal="center" vertical="center" wrapText="1"/>
    </xf>
    <xf numFmtId="49" fontId="24" fillId="10" borderId="18" xfId="2" applyNumberFormat="1" applyFont="1" applyFill="1" applyBorder="1" applyAlignment="1">
      <alignment horizontal="center" vertical="center" wrapText="1"/>
    </xf>
    <xf numFmtId="49" fontId="16" fillId="11" borderId="18" xfId="2" applyNumberFormat="1" applyFont="1" applyFill="1" applyBorder="1" applyAlignment="1">
      <alignment horizontal="left" vertical="center" wrapText="1"/>
    </xf>
    <xf numFmtId="49" fontId="21" fillId="0" borderId="13" xfId="2" applyNumberFormat="1" applyFont="1" applyFill="1" applyBorder="1" applyAlignment="1">
      <alignment horizontal="center" vertical="center" wrapText="1"/>
    </xf>
    <xf numFmtId="49" fontId="20" fillId="11" borderId="18" xfId="2" applyNumberFormat="1" applyFont="1" applyFill="1" applyBorder="1" applyAlignment="1">
      <alignment horizontal="center" vertical="center" wrapText="1"/>
    </xf>
    <xf numFmtId="49" fontId="16" fillId="10" borderId="18" xfId="2" applyNumberFormat="1" applyFont="1" applyFill="1" applyBorder="1" applyAlignment="1">
      <alignment horizontal="left" vertical="center" wrapText="1"/>
    </xf>
    <xf numFmtId="49" fontId="20" fillId="10" borderId="59" xfId="2" applyNumberFormat="1" applyFont="1" applyFill="1" applyBorder="1" applyAlignment="1">
      <alignment horizontal="center" vertical="center" wrapText="1"/>
    </xf>
    <xf numFmtId="49" fontId="26" fillId="0" borderId="18" xfId="1" applyNumberFormat="1" applyFont="1" applyFill="1" applyBorder="1" applyAlignment="1">
      <alignment horizontal="center" vertical="center" wrapText="1"/>
    </xf>
    <xf numFmtId="49" fontId="26" fillId="10" borderId="18" xfId="1" applyNumberFormat="1" applyFont="1" applyFill="1" applyBorder="1" applyAlignment="1">
      <alignment horizontal="center" vertical="center" wrapText="1"/>
    </xf>
    <xf numFmtId="49" fontId="26" fillId="3" borderId="18" xfId="1" applyNumberFormat="1" applyFont="1" applyFill="1" applyBorder="1" applyAlignment="1">
      <alignment horizontal="center" vertical="center" wrapText="1"/>
    </xf>
    <xf numFmtId="49" fontId="15" fillId="10" borderId="18" xfId="2" applyNumberFormat="1" applyFont="1" applyFill="1" applyBorder="1" applyAlignment="1">
      <alignment horizontal="center" vertical="center" wrapText="1"/>
    </xf>
    <xf numFmtId="49" fontId="15" fillId="9" borderId="8" xfId="2" applyNumberFormat="1" applyFont="1" applyFill="1" applyBorder="1" applyAlignment="1">
      <alignment horizontal="center" vertical="center" wrapText="1"/>
    </xf>
    <xf numFmtId="49" fontId="16" fillId="9" borderId="7" xfId="2" applyNumberFormat="1" applyFont="1" applyFill="1" applyBorder="1" applyAlignment="1">
      <alignment horizontal="center" vertical="center" wrapText="1"/>
    </xf>
    <xf numFmtId="49" fontId="17" fillId="0" borderId="4" xfId="2" applyNumberFormat="1" applyFont="1" applyBorder="1" applyAlignment="1">
      <alignment horizontal="center" vertical="center" wrapText="1"/>
    </xf>
    <xf numFmtId="49" fontId="16" fillId="9" borderId="5" xfId="2" applyNumberFormat="1" applyFont="1" applyFill="1" applyBorder="1" applyAlignment="1">
      <alignment horizontal="left" vertical="center" wrapText="1"/>
    </xf>
    <xf numFmtId="49" fontId="15" fillId="3" borderId="8" xfId="2" applyNumberFormat="1" applyFont="1" applyFill="1" applyBorder="1" applyAlignment="1">
      <alignment horizontal="center" vertical="center" wrapText="1"/>
    </xf>
    <xf numFmtId="0" fontId="17" fillId="0" borderId="0" xfId="2" applyFont="1" applyFill="1"/>
    <xf numFmtId="0" fontId="16" fillId="0" borderId="0" xfId="2" applyFont="1" applyAlignment="1">
      <alignment horizontal="center" vertical="center" wrapText="1"/>
    </xf>
    <xf numFmtId="49" fontId="16" fillId="3" borderId="37" xfId="2" applyNumberFormat="1" applyFont="1" applyFill="1" applyBorder="1" applyAlignment="1">
      <alignment horizontal="center" vertical="center" wrapText="1"/>
    </xf>
    <xf numFmtId="49" fontId="16" fillId="3" borderId="36" xfId="2" applyNumberFormat="1" applyFont="1" applyFill="1" applyBorder="1" applyAlignment="1">
      <alignment horizontal="center" vertical="center" wrapText="1"/>
    </xf>
    <xf numFmtId="49" fontId="16" fillId="3" borderId="61" xfId="2" applyNumberFormat="1" applyFont="1" applyFill="1" applyBorder="1" applyAlignment="1">
      <alignment horizontal="center" vertical="center" wrapText="1"/>
    </xf>
    <xf numFmtId="49" fontId="16" fillId="3" borderId="36" xfId="2" applyNumberFormat="1" applyFont="1" applyFill="1" applyBorder="1" applyAlignment="1">
      <alignment horizontal="left" vertical="center" wrapText="1"/>
    </xf>
    <xf numFmtId="49" fontId="16" fillId="3" borderId="62" xfId="2" applyNumberFormat="1" applyFont="1" applyFill="1" applyBorder="1" applyAlignment="1">
      <alignment horizontal="center" vertical="center" wrapText="1"/>
    </xf>
    <xf numFmtId="49" fontId="26" fillId="9" borderId="18" xfId="1" applyNumberFormat="1" applyFont="1" applyFill="1" applyBorder="1" applyAlignment="1">
      <alignment horizontal="center" vertical="center" wrapText="1"/>
    </xf>
    <xf numFmtId="49" fontId="19" fillId="3" borderId="0" xfId="2" applyNumberFormat="1" applyFont="1" applyFill="1" applyBorder="1" applyAlignment="1">
      <alignment horizontal="center" vertical="center" wrapText="1"/>
    </xf>
    <xf numFmtId="49" fontId="21" fillId="0" borderId="18" xfId="2" applyNumberFormat="1" applyFont="1" applyBorder="1" applyAlignment="1">
      <alignment horizontal="center" vertical="center" wrapText="1"/>
    </xf>
    <xf numFmtId="49" fontId="19" fillId="10" borderId="18" xfId="2" applyNumberFormat="1" applyFont="1" applyFill="1" applyBorder="1" applyAlignment="1">
      <alignment horizontal="center" vertical="center" wrapText="1"/>
    </xf>
    <xf numFmtId="49" fontId="15" fillId="9" borderId="59" xfId="2" applyNumberFormat="1" applyFont="1" applyFill="1" applyBorder="1" applyAlignment="1">
      <alignment horizontal="center" vertical="center" wrapText="1"/>
    </xf>
    <xf numFmtId="0" fontId="13" fillId="0" borderId="0" xfId="3" applyFont="1" applyAlignment="1"/>
    <xf numFmtId="49" fontId="3" fillId="4" borderId="18" xfId="3" applyNumberFormat="1" applyFont="1" applyFill="1" applyBorder="1" applyAlignment="1">
      <alignment horizontal="center" vertical="center" wrapText="1"/>
    </xf>
    <xf numFmtId="49" fontId="3" fillId="0" borderId="18" xfId="3" applyNumberFormat="1" applyFont="1" applyFill="1" applyBorder="1" applyAlignment="1">
      <alignment horizontal="center" vertical="center" wrapText="1"/>
    </xf>
    <xf numFmtId="49" fontId="3" fillId="2" borderId="8" xfId="3" applyNumberFormat="1" applyFont="1" applyFill="1" applyBorder="1" applyAlignment="1">
      <alignment vertical="center"/>
    </xf>
    <xf numFmtId="49" fontId="3" fillId="2" borderId="7" xfId="3" applyNumberFormat="1" applyFont="1" applyFill="1" applyBorder="1" applyAlignment="1">
      <alignment vertical="center"/>
    </xf>
    <xf numFmtId="49" fontId="5" fillId="2" borderId="5" xfId="3" applyNumberFormat="1" applyFont="1" applyFill="1" applyBorder="1" applyAlignment="1">
      <alignment horizontal="center" vertical="center" wrapText="1"/>
    </xf>
    <xf numFmtId="49" fontId="5" fillId="2" borderId="5" xfId="3" applyNumberFormat="1" applyFont="1" applyFill="1" applyBorder="1" applyAlignment="1">
      <alignment vertical="center"/>
    </xf>
    <xf numFmtId="49" fontId="5" fillId="2" borderId="4" xfId="3" applyNumberFormat="1" applyFont="1" applyFill="1" applyBorder="1" applyAlignment="1">
      <alignment vertical="center"/>
    </xf>
    <xf numFmtId="49" fontId="3" fillId="2" borderId="4" xfId="3" applyNumberFormat="1" applyFont="1" applyFill="1" applyBorder="1" applyAlignment="1">
      <alignment vertical="center"/>
    </xf>
    <xf numFmtId="49" fontId="3" fillId="2" borderId="5" xfId="3" applyNumberFormat="1" applyFont="1" applyFill="1" applyBorder="1" applyAlignment="1">
      <alignment vertical="center"/>
    </xf>
    <xf numFmtId="49" fontId="3" fillId="2" borderId="4" xfId="3" applyNumberFormat="1" applyFont="1" applyFill="1" applyBorder="1" applyAlignment="1">
      <alignment vertical="center" wrapText="1"/>
    </xf>
    <xf numFmtId="0" fontId="21" fillId="0" borderId="0" xfId="3" applyFont="1" applyAlignment="1"/>
    <xf numFmtId="49" fontId="23" fillId="2" borderId="4" xfId="3" applyNumberFormat="1" applyFont="1" applyFill="1" applyBorder="1" applyAlignment="1">
      <alignment vertical="center" wrapText="1"/>
    </xf>
    <xf numFmtId="49" fontId="23" fillId="2" borderId="5" xfId="3" applyNumberFormat="1" applyFont="1" applyFill="1" applyBorder="1" applyAlignment="1">
      <alignment vertical="center"/>
    </xf>
    <xf numFmtId="49" fontId="24" fillId="2" borderId="5" xfId="3" applyNumberFormat="1" applyFont="1" applyFill="1" applyBorder="1" applyAlignment="1">
      <alignment vertical="center"/>
    </xf>
    <xf numFmtId="49" fontId="23" fillId="2" borderId="40" xfId="3" applyNumberFormat="1" applyFont="1" applyFill="1" applyBorder="1" applyAlignment="1">
      <alignment vertical="center"/>
    </xf>
    <xf numFmtId="49" fontId="23" fillId="2" borderId="4" xfId="3" applyNumberFormat="1" applyFont="1" applyFill="1" applyBorder="1" applyAlignment="1">
      <alignment vertical="center"/>
    </xf>
    <xf numFmtId="49" fontId="24" fillId="2" borderId="4" xfId="3" applyNumberFormat="1" applyFont="1" applyFill="1" applyBorder="1" applyAlignment="1">
      <alignment vertical="center"/>
    </xf>
    <xf numFmtId="49" fontId="24" fillId="2" borderId="5" xfId="3" applyNumberFormat="1" applyFont="1" applyFill="1" applyBorder="1" applyAlignment="1">
      <alignment horizontal="center" vertical="center" wrapText="1"/>
    </xf>
    <xf numFmtId="49" fontId="23" fillId="2" borderId="7" xfId="3" applyNumberFormat="1" applyFont="1" applyFill="1" applyBorder="1" applyAlignment="1">
      <alignment vertical="center"/>
    </xf>
    <xf numFmtId="49" fontId="23" fillId="2" borderId="8" xfId="3" applyNumberFormat="1" applyFont="1" applyFill="1" applyBorder="1" applyAlignment="1">
      <alignment vertical="center"/>
    </xf>
    <xf numFmtId="49" fontId="23" fillId="0" borderId="18" xfId="3" applyNumberFormat="1" applyFont="1" applyBorder="1" applyAlignment="1">
      <alignment horizontal="center" vertical="center" wrapText="1"/>
    </xf>
    <xf numFmtId="49" fontId="26" fillId="0" borderId="18" xfId="1" applyNumberFormat="1" applyFont="1" applyBorder="1" applyAlignment="1">
      <alignment horizontal="center" vertical="center" wrapText="1"/>
    </xf>
    <xf numFmtId="49" fontId="23" fillId="4" borderId="18" xfId="3" applyNumberFormat="1" applyFont="1" applyFill="1" applyBorder="1" applyAlignment="1">
      <alignment horizontal="center" vertical="center" wrapText="1"/>
    </xf>
    <xf numFmtId="49" fontId="26" fillId="4" borderId="18" xfId="1" applyNumberFormat="1" applyFont="1" applyFill="1" applyBorder="1" applyAlignment="1">
      <alignment horizontal="center" vertical="center" wrapText="1"/>
    </xf>
    <xf numFmtId="49" fontId="23" fillId="0" borderId="18" xfId="3" applyNumberFormat="1" applyFont="1" applyFill="1" applyBorder="1" applyAlignment="1">
      <alignment horizontal="center" vertical="center" wrapText="1"/>
    </xf>
    <xf numFmtId="49" fontId="12" fillId="0" borderId="18" xfId="1" applyNumberFormat="1" applyFont="1" applyFill="1" applyBorder="1" applyAlignment="1">
      <alignment horizontal="center" vertical="center" wrapText="1"/>
    </xf>
    <xf numFmtId="49" fontId="3" fillId="2" borderId="6" xfId="3" applyNumberFormat="1" applyFont="1" applyFill="1" applyBorder="1" applyAlignment="1">
      <alignment vertical="center"/>
    </xf>
    <xf numFmtId="49" fontId="3" fillId="2" borderId="33" xfId="3" applyNumberFormat="1" applyFont="1" applyFill="1" applyBorder="1" applyAlignment="1">
      <alignment vertical="center"/>
    </xf>
    <xf numFmtId="49" fontId="7" fillId="2" borderId="4" xfId="3" applyNumberFormat="1" applyFont="1" applyFill="1" applyBorder="1" applyAlignment="1">
      <alignment vertical="center" wrapText="1"/>
    </xf>
    <xf numFmtId="49" fontId="7" fillId="2" borderId="5" xfId="3" applyNumberFormat="1" applyFont="1" applyFill="1" applyBorder="1" applyAlignment="1">
      <alignment vertical="center"/>
    </xf>
    <xf numFmtId="49" fontId="10" fillId="2" borderId="33" xfId="3" applyNumberFormat="1" applyFont="1" applyFill="1" applyBorder="1" applyAlignment="1">
      <alignment vertical="center"/>
    </xf>
    <xf numFmtId="49" fontId="7" fillId="2" borderId="6" xfId="3" applyNumberFormat="1" applyFont="1" applyFill="1" applyBorder="1" applyAlignment="1">
      <alignment vertical="center"/>
    </xf>
    <xf numFmtId="49" fontId="7" fillId="2" borderId="4" xfId="3" applyNumberFormat="1" applyFont="1" applyFill="1" applyBorder="1" applyAlignment="1">
      <alignment vertical="center"/>
    </xf>
    <xf numFmtId="49" fontId="10" fillId="2" borderId="5" xfId="3" applyNumberFormat="1" applyFont="1" applyFill="1" applyBorder="1" applyAlignment="1">
      <alignment vertical="center"/>
    </xf>
    <xf numFmtId="49" fontId="10" fillId="2" borderId="4" xfId="3" applyNumberFormat="1" applyFont="1" applyFill="1" applyBorder="1" applyAlignment="1">
      <alignment vertical="center"/>
    </xf>
    <xf numFmtId="49" fontId="10" fillId="2" borderId="5" xfId="3" applyNumberFormat="1" applyFont="1" applyFill="1" applyBorder="1" applyAlignment="1">
      <alignment horizontal="center" vertical="center" wrapText="1"/>
    </xf>
    <xf numFmtId="49" fontId="7" fillId="2" borderId="7" xfId="3" applyNumberFormat="1" applyFont="1" applyFill="1" applyBorder="1" applyAlignment="1">
      <alignment vertical="center"/>
    </xf>
    <xf numFmtId="49" fontId="7" fillId="2" borderId="8" xfId="3" applyNumberFormat="1" applyFont="1" applyFill="1" applyBorder="1" applyAlignment="1">
      <alignment vertical="center"/>
    </xf>
    <xf numFmtId="49" fontId="7" fillId="0" borderId="18" xfId="3" applyNumberFormat="1" applyFont="1" applyFill="1" applyBorder="1" applyAlignment="1">
      <alignment horizontal="center" vertical="center" wrapText="1"/>
    </xf>
    <xf numFmtId="49" fontId="7" fillId="4" borderId="18" xfId="3" applyNumberFormat="1" applyFont="1" applyFill="1" applyBorder="1" applyAlignment="1">
      <alignment horizontal="center" vertical="center" wrapText="1"/>
    </xf>
    <xf numFmtId="49" fontId="3" fillId="2" borderId="35" xfId="3" applyNumberFormat="1" applyFont="1" applyFill="1" applyBorder="1" applyAlignment="1">
      <alignment vertical="center"/>
    </xf>
    <xf numFmtId="49" fontId="6" fillId="0" borderId="18" xfId="3" applyNumberFormat="1" applyFont="1" applyFill="1" applyBorder="1" applyAlignment="1">
      <alignment horizontal="center" vertical="center" wrapText="1"/>
    </xf>
    <xf numFmtId="49" fontId="6" fillId="4" borderId="18" xfId="3" applyNumberFormat="1" applyFont="1" applyFill="1" applyBorder="1" applyAlignment="1">
      <alignment horizontal="center" vertical="center" wrapText="1"/>
    </xf>
    <xf numFmtId="49" fontId="11" fillId="0" borderId="4" xfId="0" applyNumberFormat="1" applyFont="1" applyBorder="1" applyAlignment="1">
      <alignment horizontal="center" vertical="center" wrapText="1"/>
    </xf>
    <xf numFmtId="49" fontId="11" fillId="3" borderId="4" xfId="0" applyNumberFormat="1" applyFont="1" applyFill="1" applyBorder="1" applyAlignment="1">
      <alignment horizontal="center" vertical="center" wrapText="1"/>
    </xf>
    <xf numFmtId="49" fontId="8" fillId="3" borderId="8" xfId="0" applyNumberFormat="1" applyFont="1" applyFill="1" applyBorder="1" applyAlignment="1">
      <alignment horizontal="center" vertical="center" wrapText="1"/>
    </xf>
    <xf numFmtId="49" fontId="8" fillId="9" borderId="8" xfId="0" applyNumberFormat="1" applyFont="1" applyFill="1" applyBorder="1" applyAlignment="1">
      <alignment horizontal="center" vertical="center" wrapText="1"/>
    </xf>
    <xf numFmtId="0" fontId="21" fillId="0" borderId="0" xfId="0" applyFont="1" applyAlignment="1"/>
    <xf numFmtId="49" fontId="23" fillId="2" borderId="4" xfId="0" applyNumberFormat="1" applyFont="1" applyFill="1" applyBorder="1" applyAlignment="1">
      <alignment vertical="center" wrapText="1"/>
    </xf>
    <xf numFmtId="49" fontId="23" fillId="2" borderId="5" xfId="0" applyNumberFormat="1" applyFont="1" applyFill="1" applyBorder="1" applyAlignment="1">
      <alignment vertical="center"/>
    </xf>
    <xf numFmtId="49" fontId="24" fillId="2" borderId="5" xfId="0" applyNumberFormat="1" applyFont="1" applyFill="1" applyBorder="1" applyAlignment="1">
      <alignment vertical="center"/>
    </xf>
    <xf numFmtId="49" fontId="23" fillId="2" borderId="6" xfId="0" applyNumberFormat="1" applyFont="1" applyFill="1" applyBorder="1" applyAlignment="1">
      <alignment vertical="center"/>
    </xf>
    <xf numFmtId="49" fontId="23" fillId="2" borderId="4" xfId="0" applyNumberFormat="1" applyFont="1" applyFill="1" applyBorder="1" applyAlignment="1">
      <alignment vertical="center"/>
    </xf>
    <xf numFmtId="49" fontId="24" fillId="2" borderId="4" xfId="0" applyNumberFormat="1" applyFont="1" applyFill="1" applyBorder="1" applyAlignment="1">
      <alignment vertical="center"/>
    </xf>
    <xf numFmtId="49" fontId="24" fillId="2" borderId="5" xfId="0" applyNumberFormat="1" applyFont="1" applyFill="1" applyBorder="1" applyAlignment="1">
      <alignment vertical="center" wrapText="1"/>
    </xf>
    <xf numFmtId="49" fontId="24" fillId="2" borderId="5" xfId="0" applyNumberFormat="1" applyFont="1" applyFill="1" applyBorder="1" applyAlignment="1">
      <alignment horizontal="center" vertical="center" wrapText="1"/>
    </xf>
    <xf numFmtId="49" fontId="23" fillId="2" borderId="7" xfId="0" applyNumberFormat="1" applyFont="1" applyFill="1" applyBorder="1" applyAlignment="1">
      <alignment vertical="center"/>
    </xf>
    <xf numFmtId="49" fontId="23" fillId="2" borderId="8" xfId="0" applyNumberFormat="1" applyFont="1" applyFill="1" applyBorder="1" applyAlignment="1">
      <alignment vertical="center"/>
    </xf>
    <xf numFmtId="49" fontId="23" fillId="0" borderId="4" xfId="0" applyNumberFormat="1" applyFont="1" applyFill="1" applyBorder="1" applyAlignment="1">
      <alignment horizontal="center" vertical="center" wrapText="1"/>
    </xf>
    <xf numFmtId="49" fontId="23" fillId="0" borderId="5"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5" xfId="0" applyNumberFormat="1" applyFont="1" applyFill="1" applyBorder="1" applyAlignment="1">
      <alignment horizontal="left" vertical="center" wrapText="1"/>
    </xf>
    <xf numFmtId="49" fontId="22" fillId="0" borderId="8" xfId="0" applyNumberFormat="1" applyFont="1" applyFill="1" applyBorder="1" applyAlignment="1">
      <alignment horizontal="center" vertical="center" wrapText="1"/>
    </xf>
    <xf numFmtId="49" fontId="23" fillId="4" borderId="4" xfId="0" applyNumberFormat="1" applyFont="1" applyFill="1" applyBorder="1" applyAlignment="1">
      <alignment horizontal="center" vertical="center" wrapText="1"/>
    </xf>
    <xf numFmtId="49" fontId="23" fillId="4" borderId="5" xfId="0" applyNumberFormat="1" applyFont="1" applyFill="1" applyBorder="1" applyAlignment="1">
      <alignment horizontal="center" vertical="center" wrapText="1"/>
    </xf>
    <xf numFmtId="49" fontId="23" fillId="4" borderId="6" xfId="0" applyNumberFormat="1" applyFont="1" applyFill="1" applyBorder="1" applyAlignment="1">
      <alignment horizontal="center" vertical="center" wrapText="1"/>
    </xf>
    <xf numFmtId="49" fontId="23" fillId="4" borderId="5" xfId="0" applyNumberFormat="1" applyFont="1" applyFill="1" applyBorder="1" applyAlignment="1">
      <alignment horizontal="left" vertical="center" wrapText="1"/>
    </xf>
    <xf numFmtId="49" fontId="22" fillId="4" borderId="8" xfId="0" applyNumberFormat="1" applyFont="1" applyFill="1" applyBorder="1" applyAlignment="1">
      <alignment horizontal="center" vertical="center" wrapText="1"/>
    </xf>
    <xf numFmtId="49" fontId="23" fillId="4" borderId="7" xfId="0" applyNumberFormat="1" applyFont="1" applyFill="1" applyBorder="1" applyAlignment="1">
      <alignment horizontal="center" vertical="center" wrapText="1"/>
    </xf>
    <xf numFmtId="49" fontId="24" fillId="4" borderId="8" xfId="0" applyNumberFormat="1" applyFont="1" applyFill="1" applyBorder="1" applyAlignment="1">
      <alignment horizontal="center" vertical="center" wrapText="1"/>
    </xf>
    <xf numFmtId="49" fontId="24" fillId="0" borderId="4" xfId="0" applyNumberFormat="1" applyFont="1" applyFill="1" applyBorder="1" applyAlignment="1">
      <alignment horizontal="center" vertical="center" wrapText="1"/>
    </xf>
    <xf numFmtId="49" fontId="23" fillId="0" borderId="6" xfId="0" applyNumberFormat="1" applyFont="1" applyFill="1" applyBorder="1" applyAlignment="1">
      <alignment horizontal="center" vertical="center" wrapText="1"/>
    </xf>
    <xf numFmtId="49" fontId="24" fillId="0" borderId="8" xfId="0" applyNumberFormat="1" applyFont="1" applyFill="1" applyBorder="1" applyAlignment="1">
      <alignment horizontal="center" vertical="center" wrapText="1"/>
    </xf>
    <xf numFmtId="49" fontId="24" fillId="4" borderId="4" xfId="0" applyNumberFormat="1" applyFont="1" applyFill="1" applyBorder="1" applyAlignment="1">
      <alignment horizontal="center" vertical="center" wrapText="1"/>
    </xf>
    <xf numFmtId="49" fontId="24" fillId="4" borderId="7" xfId="0" applyNumberFormat="1" applyFont="1" applyFill="1" applyBorder="1" applyAlignment="1">
      <alignment horizontal="center" vertical="center" wrapText="1"/>
    </xf>
    <xf numFmtId="49" fontId="25" fillId="4" borderId="8" xfId="0" applyNumberFormat="1" applyFont="1" applyFill="1" applyBorder="1" applyAlignment="1">
      <alignment horizontal="center" vertical="center" wrapText="1"/>
    </xf>
    <xf numFmtId="49" fontId="25" fillId="0" borderId="8" xfId="0" applyNumberFormat="1" applyFont="1" applyFill="1" applyBorder="1" applyAlignment="1">
      <alignment horizontal="center" vertical="center" wrapText="1"/>
    </xf>
    <xf numFmtId="49" fontId="21" fillId="4" borderId="0" xfId="0" applyNumberFormat="1" applyFont="1" applyFill="1" applyAlignment="1">
      <alignment horizontal="center" vertical="center" wrapText="1"/>
    </xf>
    <xf numFmtId="49" fontId="21" fillId="4" borderId="8" xfId="0" applyNumberFormat="1" applyFont="1" applyFill="1" applyBorder="1" applyAlignment="1">
      <alignment horizontal="center" vertical="center" wrapText="1"/>
    </xf>
    <xf numFmtId="49" fontId="24" fillId="4" borderId="9" xfId="0" applyNumberFormat="1" applyFont="1" applyFill="1" applyBorder="1" applyAlignment="1">
      <alignment horizontal="center" vertical="center" wrapText="1"/>
    </xf>
    <xf numFmtId="49" fontId="21" fillId="4" borderId="6" xfId="0" applyNumberFormat="1" applyFont="1" applyFill="1" applyBorder="1" applyAlignment="1">
      <alignment horizontal="center" vertical="center" wrapText="1"/>
    </xf>
    <xf numFmtId="49" fontId="21" fillId="4" borderId="3" xfId="0" applyNumberFormat="1" applyFont="1" applyFill="1" applyBorder="1" applyAlignment="1">
      <alignment horizontal="center" vertical="center" wrapText="1"/>
    </xf>
    <xf numFmtId="49" fontId="24" fillId="4" borderId="6" xfId="0" applyNumberFormat="1" applyFont="1" applyFill="1" applyBorder="1" applyAlignment="1">
      <alignment horizontal="center" vertical="center" wrapText="1"/>
    </xf>
    <xf numFmtId="49" fontId="23" fillId="4" borderId="3" xfId="0" applyNumberFormat="1" applyFont="1" applyFill="1" applyBorder="1" applyAlignment="1">
      <alignment horizontal="center" vertical="center" wrapText="1"/>
    </xf>
    <xf numFmtId="49" fontId="21" fillId="0" borderId="10" xfId="0" applyNumberFormat="1" applyFont="1" applyFill="1" applyBorder="1" applyAlignment="1">
      <alignment horizontal="center" vertical="center" wrapText="1"/>
    </xf>
    <xf numFmtId="49" fontId="23" fillId="0" borderId="10" xfId="0" applyNumberFormat="1" applyFont="1" applyFill="1" applyBorder="1" applyAlignment="1">
      <alignment horizontal="center" vertical="center" wrapText="1"/>
    </xf>
    <xf numFmtId="49" fontId="21" fillId="0" borderId="0" xfId="0" applyNumberFormat="1" applyFont="1" applyFill="1" applyBorder="1" applyAlignment="1">
      <alignment horizontal="center" vertical="center" wrapText="1"/>
    </xf>
    <xf numFmtId="49" fontId="21" fillId="0" borderId="11" xfId="0" applyNumberFormat="1" applyFont="1" applyFill="1" applyBorder="1" applyAlignment="1">
      <alignment horizontal="center" vertical="center" wrapText="1"/>
    </xf>
    <xf numFmtId="49" fontId="24" fillId="0" borderId="10" xfId="0" applyNumberFormat="1" applyFont="1" applyFill="1" applyBorder="1" applyAlignment="1">
      <alignment horizontal="center" vertical="center" wrapText="1"/>
    </xf>
    <xf numFmtId="49" fontId="26" fillId="0" borderId="12" xfId="1" applyNumberFormat="1" applyFont="1" applyFill="1" applyBorder="1" applyAlignment="1">
      <alignment horizontal="center" vertical="center" wrapText="1"/>
    </xf>
    <xf numFmtId="49" fontId="23" fillId="0" borderId="13" xfId="0" applyNumberFormat="1" applyFont="1" applyFill="1" applyBorder="1" applyAlignment="1">
      <alignment horizontal="center" vertical="center" wrapText="1"/>
    </xf>
    <xf numFmtId="49" fontId="24" fillId="4" borderId="14" xfId="0" applyNumberFormat="1" applyFont="1" applyFill="1" applyBorder="1" applyAlignment="1">
      <alignment horizontal="center" vertical="center" wrapText="1"/>
    </xf>
    <xf numFmtId="49" fontId="23" fillId="4" borderId="15" xfId="0" applyNumberFormat="1" applyFont="1" applyFill="1" applyBorder="1" applyAlignment="1">
      <alignment horizontal="center" vertical="center" wrapText="1"/>
    </xf>
    <xf numFmtId="49" fontId="21" fillId="4" borderId="15" xfId="0" applyNumberFormat="1" applyFont="1" applyFill="1" applyBorder="1" applyAlignment="1">
      <alignment horizontal="center" vertical="center" wrapText="1"/>
    </xf>
    <xf numFmtId="49" fontId="26" fillId="4" borderId="16" xfId="1" applyNumberFormat="1" applyFont="1" applyFill="1" applyBorder="1" applyAlignment="1">
      <alignment horizontal="center" vertical="center" wrapText="1"/>
    </xf>
    <xf numFmtId="49" fontId="23" fillId="4" borderId="17" xfId="0" applyNumberFormat="1" applyFont="1" applyFill="1" applyBorder="1" applyAlignment="1">
      <alignment horizontal="center" vertical="center" wrapText="1"/>
    </xf>
    <xf numFmtId="49" fontId="7" fillId="7" borderId="30" xfId="0" applyNumberFormat="1" applyFont="1" applyFill="1" applyBorder="1" applyAlignment="1">
      <alignment horizontal="center" vertical="center" wrapText="1"/>
    </xf>
    <xf numFmtId="49" fontId="7" fillId="7" borderId="47" xfId="0" applyNumberFormat="1" applyFont="1" applyFill="1" applyBorder="1" applyAlignment="1">
      <alignment horizontal="center" vertical="center" wrapText="1"/>
    </xf>
    <xf numFmtId="49" fontId="7" fillId="6" borderId="26" xfId="0" applyNumberFormat="1" applyFont="1" applyFill="1" applyBorder="1" applyAlignment="1">
      <alignment horizontal="center" vertical="center" wrapText="1"/>
    </xf>
    <xf numFmtId="49" fontId="7" fillId="6" borderId="53" xfId="0" applyNumberFormat="1" applyFont="1" applyFill="1" applyBorder="1" applyAlignment="1">
      <alignment horizontal="center" vertical="center" wrapText="1"/>
    </xf>
    <xf numFmtId="49" fontId="8" fillId="7" borderId="26" xfId="0" applyNumberFormat="1" applyFont="1" applyFill="1" applyBorder="1" applyAlignment="1">
      <alignment horizontal="center" vertical="center" wrapText="1"/>
    </xf>
    <xf numFmtId="49" fontId="8" fillId="7" borderId="53" xfId="0" applyNumberFormat="1" applyFont="1" applyFill="1" applyBorder="1" applyAlignment="1">
      <alignment horizontal="center" vertical="center" wrapText="1"/>
    </xf>
    <xf numFmtId="0" fontId="8" fillId="7" borderId="26" xfId="0" applyFont="1" applyFill="1" applyBorder="1" applyAlignment="1">
      <alignment horizontal="center" vertical="center" wrapText="1"/>
    </xf>
    <xf numFmtId="0" fontId="8" fillId="7" borderId="53" xfId="0" applyFont="1" applyFill="1" applyBorder="1" applyAlignment="1">
      <alignment horizontal="center" vertical="center" wrapText="1"/>
    </xf>
    <xf numFmtId="49" fontId="7" fillId="7" borderId="26" xfId="0" applyNumberFormat="1" applyFont="1" applyFill="1" applyBorder="1" applyAlignment="1">
      <alignment horizontal="center" vertical="center" wrapText="1"/>
    </xf>
    <xf numFmtId="49" fontId="7" fillId="7" borderId="53" xfId="0" applyNumberFormat="1"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8" fillId="0" borderId="52" xfId="0" applyFont="1" applyFill="1" applyBorder="1" applyAlignment="1">
      <alignment horizontal="center" vertical="center" wrapText="1"/>
    </xf>
    <xf numFmtId="49" fontId="8" fillId="0" borderId="50" xfId="0" applyNumberFormat="1" applyFont="1" applyFill="1" applyBorder="1" applyAlignment="1">
      <alignment horizontal="center" vertical="center" wrapText="1"/>
    </xf>
    <xf numFmtId="49" fontId="8" fillId="0" borderId="51" xfId="0" applyNumberFormat="1" applyFont="1" applyFill="1" applyBorder="1" applyAlignment="1">
      <alignment horizontal="center" vertical="center" wrapText="1"/>
    </xf>
    <xf numFmtId="0" fontId="8" fillId="4" borderId="50" xfId="0" applyFont="1" applyFill="1" applyBorder="1" applyAlignment="1">
      <alignment horizontal="center" vertical="center" wrapText="1"/>
    </xf>
    <xf numFmtId="0" fontId="8" fillId="4" borderId="54" xfId="0" applyFont="1" applyFill="1" applyBorder="1" applyAlignment="1">
      <alignment horizontal="center" vertical="center" wrapText="1"/>
    </xf>
    <xf numFmtId="0" fontId="8" fillId="4" borderId="51" xfId="0" applyFont="1" applyFill="1" applyBorder="1" applyAlignment="1">
      <alignment horizontal="center" vertical="center" wrapText="1"/>
    </xf>
    <xf numFmtId="49" fontId="7" fillId="4" borderId="50" xfId="0" applyNumberFormat="1" applyFont="1" applyFill="1" applyBorder="1" applyAlignment="1">
      <alignment horizontal="center" vertical="center" wrapText="1"/>
    </xf>
    <xf numFmtId="49" fontId="7" fillId="4" borderId="54" xfId="0" applyNumberFormat="1" applyFont="1" applyFill="1" applyBorder="1" applyAlignment="1">
      <alignment horizontal="center" vertical="center" wrapText="1"/>
    </xf>
    <xf numFmtId="49" fontId="7" fillId="4" borderId="51" xfId="0" applyNumberFormat="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55" xfId="1" applyFont="1" applyFill="1" applyBorder="1" applyAlignment="1">
      <alignment horizontal="center" vertical="center" wrapText="1"/>
    </xf>
    <xf numFmtId="0" fontId="9" fillId="4" borderId="53" xfId="1" applyFont="1" applyFill="1" applyBorder="1" applyAlignment="1">
      <alignment horizontal="center" vertical="center" wrapText="1"/>
    </xf>
    <xf numFmtId="49" fontId="7" fillId="4" borderId="49" xfId="0" applyNumberFormat="1" applyFont="1" applyFill="1" applyBorder="1" applyAlignment="1">
      <alignment horizontal="center" vertical="center" wrapText="1"/>
    </xf>
    <xf numFmtId="49" fontId="7" fillId="4" borderId="52" xfId="0" applyNumberFormat="1" applyFont="1" applyFill="1" applyBorder="1" applyAlignment="1">
      <alignment horizontal="center" vertical="center" wrapText="1"/>
    </xf>
    <xf numFmtId="49" fontId="7" fillId="0" borderId="50" xfId="0" applyNumberFormat="1" applyFont="1" applyFill="1" applyBorder="1" applyAlignment="1">
      <alignment horizontal="center" vertical="center" wrapText="1"/>
    </xf>
    <xf numFmtId="49" fontId="7" fillId="0" borderId="51" xfId="0" applyNumberFormat="1" applyFont="1" applyFill="1" applyBorder="1" applyAlignment="1">
      <alignment horizontal="center" vertical="center" wrapText="1"/>
    </xf>
    <xf numFmtId="49" fontId="7" fillId="0" borderId="30" xfId="0" applyNumberFormat="1" applyFont="1" applyFill="1" applyBorder="1" applyAlignment="1">
      <alignment horizontal="center" vertical="center" wrapText="1"/>
    </xf>
    <xf numFmtId="49" fontId="7" fillId="0" borderId="47" xfId="0" applyNumberFormat="1" applyFont="1" applyFill="1" applyBorder="1" applyAlignment="1">
      <alignment horizontal="center" vertical="center" wrapText="1"/>
    </xf>
    <xf numFmtId="49" fontId="7" fillId="0" borderId="26" xfId="0" applyNumberFormat="1" applyFont="1" applyFill="1" applyBorder="1" applyAlignment="1">
      <alignment horizontal="center" vertical="center" wrapText="1"/>
    </xf>
    <xf numFmtId="49" fontId="7" fillId="0" borderId="53" xfId="0" applyNumberFormat="1" applyFont="1" applyFill="1" applyBorder="1" applyAlignment="1">
      <alignment horizontal="center" vertical="center" wrapText="1"/>
    </xf>
    <xf numFmtId="49" fontId="7" fillId="5" borderId="50" xfId="0" applyNumberFormat="1" applyFont="1" applyFill="1" applyBorder="1" applyAlignment="1">
      <alignment horizontal="center" vertical="center" wrapText="1"/>
    </xf>
    <xf numFmtId="49" fontId="7" fillId="5" borderId="51" xfId="0" applyNumberFormat="1" applyFont="1" applyFill="1" applyBorder="1" applyAlignment="1">
      <alignment horizontal="center" vertical="center" wrapText="1"/>
    </xf>
    <xf numFmtId="49" fontId="7" fillId="2" borderId="19" xfId="0" applyNumberFormat="1" applyFont="1" applyFill="1" applyBorder="1" applyAlignment="1">
      <alignment horizontal="center" vertical="center" wrapText="1"/>
    </xf>
    <xf numFmtId="49" fontId="7" fillId="2" borderId="20" xfId="0" applyNumberFormat="1" applyFont="1" applyFill="1" applyBorder="1" applyAlignment="1">
      <alignment horizontal="center" vertical="center" wrapText="1"/>
    </xf>
    <xf numFmtId="49" fontId="7" fillId="2" borderId="17" xfId="0" applyNumberFormat="1" applyFont="1" applyFill="1" applyBorder="1" applyAlignment="1">
      <alignment horizontal="center" vertical="center" wrapText="1"/>
    </xf>
    <xf numFmtId="49" fontId="17" fillId="2" borderId="60" xfId="2" applyNumberFormat="1" applyFont="1" applyFill="1" applyBorder="1" applyAlignment="1">
      <alignment horizontal="center" vertical="center" wrapText="1"/>
    </xf>
    <xf numFmtId="0" fontId="13" fillId="0" borderId="2" xfId="2" applyFont="1" applyBorder="1"/>
    <xf numFmtId="0" fontId="13" fillId="0" borderId="45" xfId="2" applyFont="1" applyBorder="1"/>
    <xf numFmtId="0" fontId="13" fillId="0" borderId="58" xfId="2" applyFont="1" applyBorder="1"/>
    <xf numFmtId="0" fontId="13" fillId="0" borderId="3" xfId="2" applyFont="1" applyBorder="1"/>
    <xf numFmtId="49" fontId="23" fillId="2" borderId="1" xfId="3" applyNumberFormat="1" applyFont="1" applyFill="1" applyBorder="1" applyAlignment="1">
      <alignment horizontal="center" vertical="center" wrapText="1"/>
    </xf>
    <xf numFmtId="0" fontId="21" fillId="0" borderId="2" xfId="3" applyFont="1" applyBorder="1"/>
    <xf numFmtId="0" fontId="21" fillId="0" borderId="3" xfId="3" applyFont="1" applyBorder="1"/>
    <xf numFmtId="49" fontId="27" fillId="2" borderId="1" xfId="3" applyNumberFormat="1" applyFont="1" applyFill="1" applyBorder="1" applyAlignment="1">
      <alignment horizontal="center" vertical="center" wrapText="1"/>
    </xf>
    <xf numFmtId="0" fontId="2" fillId="0" borderId="2" xfId="3" applyFont="1" applyBorder="1"/>
    <xf numFmtId="0" fontId="2" fillId="0" borderId="3" xfId="3" applyFont="1" applyBorder="1"/>
    <xf numFmtId="49" fontId="7" fillId="2" borderId="1" xfId="3" applyNumberFormat="1" applyFont="1" applyFill="1" applyBorder="1" applyAlignment="1">
      <alignment horizontal="center" vertical="center" wrapText="1"/>
    </xf>
    <xf numFmtId="0" fontId="8" fillId="0" borderId="2" xfId="3" applyFont="1" applyBorder="1"/>
    <xf numFmtId="0" fontId="8" fillId="0" borderId="3" xfId="3" applyFont="1" applyBorder="1"/>
    <xf numFmtId="49" fontId="5" fillId="2" borderId="28" xfId="0" applyNumberFormat="1" applyFont="1" applyFill="1" applyBorder="1" applyAlignment="1">
      <alignment horizontal="center" vertical="center" wrapText="1"/>
    </xf>
    <xf numFmtId="0" fontId="2" fillId="0" borderId="29" xfId="0" applyFont="1" applyBorder="1"/>
    <xf numFmtId="0" fontId="2" fillId="0" borderId="38" xfId="0" applyFont="1" applyBorder="1"/>
    <xf numFmtId="49" fontId="3" fillId="2" borderId="1" xfId="3"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8" fillId="0" borderId="2" xfId="0" applyFont="1" applyBorder="1"/>
    <xf numFmtId="0" fontId="8" fillId="0" borderId="3" xfId="0" applyFont="1" applyBorder="1"/>
    <xf numFmtId="49" fontId="23" fillId="2" borderId="1" xfId="0" applyNumberFormat="1" applyFont="1" applyFill="1" applyBorder="1" applyAlignment="1">
      <alignment horizontal="center" vertical="center" wrapText="1"/>
    </xf>
    <xf numFmtId="0" fontId="21" fillId="0" borderId="2" xfId="0" applyFont="1" applyBorder="1"/>
    <xf numFmtId="0" fontId="21" fillId="0" borderId="3" xfId="0" applyFont="1" applyBorder="1"/>
    <xf numFmtId="49" fontId="23" fillId="3" borderId="18" xfId="2" applyNumberFormat="1" applyFont="1" applyFill="1" applyBorder="1" applyAlignment="1">
      <alignment horizontal="center" vertical="center" wrapText="1"/>
    </xf>
    <xf numFmtId="49" fontId="23" fillId="3" borderId="18" xfId="2" applyNumberFormat="1" applyFont="1" applyFill="1" applyBorder="1" applyAlignment="1">
      <alignment horizontal="left" vertical="center" wrapText="1"/>
    </xf>
    <xf numFmtId="49" fontId="21" fillId="3" borderId="18" xfId="2" applyNumberFormat="1" applyFont="1" applyFill="1" applyBorder="1" applyAlignment="1">
      <alignment horizontal="center" vertical="center" wrapText="1"/>
    </xf>
    <xf numFmtId="49" fontId="22" fillId="3" borderId="18" xfId="2" applyNumberFormat="1" applyFont="1" applyFill="1" applyBorder="1" applyAlignment="1">
      <alignment horizontal="center" vertical="center" wrapText="1"/>
    </xf>
    <xf numFmtId="49" fontId="23" fillId="12" borderId="18" xfId="2" applyNumberFormat="1" applyFont="1" applyFill="1" applyBorder="1" applyAlignment="1">
      <alignment horizontal="center" vertical="center" wrapText="1"/>
    </xf>
    <xf numFmtId="49" fontId="22" fillId="12" borderId="18" xfId="2" applyNumberFormat="1" applyFont="1" applyFill="1" applyBorder="1" applyAlignment="1">
      <alignment horizontal="center" vertical="center" wrapText="1"/>
    </xf>
    <xf numFmtId="49" fontId="21" fillId="11" borderId="13" xfId="2" applyNumberFormat="1" applyFont="1" applyFill="1" applyBorder="1" applyAlignment="1">
      <alignment horizontal="center" vertical="center" wrapText="1"/>
    </xf>
    <xf numFmtId="49" fontId="23" fillId="10" borderId="18" xfId="2" applyNumberFormat="1" applyFont="1" applyFill="1" applyBorder="1" applyAlignment="1">
      <alignment horizontal="left" vertical="center" wrapText="1"/>
    </xf>
    <xf numFmtId="49" fontId="21" fillId="10" borderId="18" xfId="2" applyNumberFormat="1" applyFont="1" applyFill="1" applyBorder="1" applyAlignment="1">
      <alignment horizontal="center" vertical="center" wrapText="1"/>
    </xf>
    <xf numFmtId="0" fontId="21" fillId="10" borderId="18" xfId="2" applyFont="1" applyFill="1" applyBorder="1" applyAlignment="1">
      <alignment horizontal="center" vertical="center" wrapText="1"/>
    </xf>
    <xf numFmtId="49" fontId="18" fillId="10" borderId="18" xfId="2" applyNumberFormat="1" applyFont="1" applyFill="1" applyBorder="1" applyAlignment="1">
      <alignment horizontal="center" vertical="center" wrapText="1"/>
    </xf>
  </cellXfs>
  <cellStyles count="4">
    <cellStyle name="Hyperlink" xfId="1" builtinId="8"/>
    <cellStyle name="Normal" xfId="0" builtinId="0"/>
    <cellStyle name="Normal 2" xfId="2" xr:uid="{FAB40F77-3999-584C-9C52-E21EEFD39741}"/>
    <cellStyle name="Normal 3" xfId="3" xr:uid="{27AE5AFA-1CEA-8E45-9828-CFC00AFBFE3B}"/>
  </cellStyles>
  <dxfs count="0"/>
  <tableStyles count="0" defaultTableStyle="TableStyleMedium2" defaultPivotStyle="PivotStyleLight16"/>
  <colors>
    <mruColors>
      <color rgb="FFDAEEF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fra.europa.eu/en/publication/2012/situation-roma-11-eu-member-states-survey-results-glance" TargetMode="External"/><Relationship Id="rId18" Type="http://schemas.openxmlformats.org/officeDocument/2006/relationships/hyperlink" Target="https://publications.europa.eu/en/publication-detail/-/publication/61505667-ec87-4a71-ba4f-845a4a510e11/language-en" TargetMode="External"/><Relationship Id="rId26" Type="http://schemas.openxmlformats.org/officeDocument/2006/relationships/hyperlink" Target="https://rm.coe.int/greta-2018-1-7gr-en/16807af20e" TargetMode="External"/><Relationship Id="rId39" Type="http://schemas.openxmlformats.org/officeDocument/2006/relationships/hyperlink" Target="https://www.eurasia.undp.org/content/rbec/en/home/ourwork/sustainable-development/development-planning-and-inclusive-sustainable-growth/roma-in-central-and-southeast-europe/roma-data.html" TargetMode="External"/><Relationship Id="rId21" Type="http://schemas.openxmlformats.org/officeDocument/2006/relationships/hyperlink" Target="https://www.humanrightsfirst.org/wp-content/uploads/pdf/fd-080924-roma-web.pdf" TargetMode="External"/><Relationship Id="rId34" Type="http://schemas.openxmlformats.org/officeDocument/2006/relationships/hyperlink" Target="https://www.mscbs.gob.es/ssi/familiasInfancia/PoblacionGitana/docs/diagnosticosocial_autores.pdf" TargetMode="External"/><Relationship Id="rId42" Type="http://schemas.openxmlformats.org/officeDocument/2006/relationships/printerSettings" Target="../printerSettings/printerSettings1.bin"/><Relationship Id="rId7" Type="http://schemas.openxmlformats.org/officeDocument/2006/relationships/hyperlink" Target="https://fra.europa.eu/en/publication/2016/eumidis-ii-roma-selected-findings" TargetMode="External"/><Relationship Id="rId2" Type="http://schemas.openxmlformats.org/officeDocument/2006/relationships/hyperlink" Target="https://www.eurasia.undp.org/content/rbec/en/home/ourwork/sustainable-development/development-planning-and-inclusive-sustainable-growth/roma-in-central-and-southeast-europe/roma-data.html" TargetMode="External"/><Relationship Id="rId16" Type="http://schemas.openxmlformats.org/officeDocument/2006/relationships/hyperlink" Target="https://ec.europa.eu/knowledge4policy/dataset/ds00141_en" TargetMode="External"/><Relationship Id="rId20" Type="http://schemas.openxmlformats.org/officeDocument/2006/relationships/hyperlink" Target="http://www.errc.org/uploads/upload_en/file/hidden-health-crisis-31-october-2013.pdf" TargetMode="External"/><Relationship Id="rId29" Type="http://schemas.openxmlformats.org/officeDocument/2006/relationships/hyperlink" Target="https://www.unicef.org/bulgaria/media/1891/file/Summary-of-the-report-social-norms-and-roma-girls-access-to-education.pdf" TargetMode="External"/><Relationship Id="rId41" Type="http://schemas.openxmlformats.org/officeDocument/2006/relationships/hyperlink" Target="https://www.unicef.org/search/search.php?querystring_en=%20Roma%20MICS&amp;hits=10&amp;type=Main" TargetMode="External"/><Relationship Id="rId1" Type="http://schemas.openxmlformats.org/officeDocument/2006/relationships/hyperlink" Target="http://www.eurasia.undp.org/content/rbec/en/home/library/roma/At-risk-Roma-displaced-Southeast-Europe.html" TargetMode="External"/><Relationship Id="rId6" Type="http://schemas.openxmlformats.org/officeDocument/2006/relationships/hyperlink" Target="https://www.eurasia.undp.org/content/rbec/en/home/ourwork/sustainable-development/development-planning-and-inclusive-sustainable-growth/roma-in-central-and-southeast-europe/roma-data.html" TargetMode="External"/><Relationship Id="rId11" Type="http://schemas.openxmlformats.org/officeDocument/2006/relationships/hyperlink" Target="https://fra.europa.eu/en/publication/2009/eu-midis-data-focus-report-1-roma" TargetMode="External"/><Relationship Id="rId24" Type="http://schemas.openxmlformats.org/officeDocument/2006/relationships/hyperlink" Target="https://rm.coe.int/CoERMPublicCommonSearchServices/DisplayDCTMContent?documentId=0900001680630d6c" TargetMode="External"/><Relationship Id="rId32" Type="http://schemas.openxmlformats.org/officeDocument/2006/relationships/hyperlink" Target="https://www.gitanos.org/upload/14/89/Informe_de_discriminacion_2018__ingles_.pdf" TargetMode="External"/><Relationship Id="rId37" Type="http://schemas.openxmlformats.org/officeDocument/2006/relationships/hyperlink" Target="https://fra.europa.eu/sites/default/files/eu-midis_technical_report.pdf" TargetMode="External"/><Relationship Id="rId40" Type="http://schemas.openxmlformats.org/officeDocument/2006/relationships/hyperlink" Target="https://www.reyn.eu/resource_tags/reci-reports/" TargetMode="External"/><Relationship Id="rId5" Type="http://schemas.openxmlformats.org/officeDocument/2006/relationships/hyperlink" Target="https://fra.europa.eu/en/publications-and-resources/data-and-maps/survey-data-explorer-second-eu-minorities-discrimination-survey?mdq1=theme&amp;mdq2=3508" TargetMode="External"/><Relationship Id="rId15" Type="http://schemas.openxmlformats.org/officeDocument/2006/relationships/hyperlink" Target="https://fra.europa.eu/en/publication/2009/european-union-minorities-and-discrimination-survey-main-results-report" TargetMode="External"/><Relationship Id="rId23" Type="http://schemas.openxmlformats.org/officeDocument/2006/relationships/hyperlink" Target="https://rm.coe.int/CoERMPublicCommonSearchServices/DisplayDCTMContent?documentId=0900001680630d69" TargetMode="External"/><Relationship Id="rId28" Type="http://schemas.openxmlformats.org/officeDocument/2006/relationships/hyperlink" Target="http://www.errc.org/uploads/upload_en/file/roma-belong.pdf" TargetMode="External"/><Relationship Id="rId36" Type="http://schemas.openxmlformats.org/officeDocument/2006/relationships/hyperlink" Target="https://fra.europa.eu/sites/default/files/eu-midis_technical_report.pdf" TargetMode="External"/><Relationship Id="rId10" Type="http://schemas.openxmlformats.org/officeDocument/2006/relationships/hyperlink" Target="https://fra.europa.eu/en/publication/2019/eumidis-ii-roma-women" TargetMode="External"/><Relationship Id="rId19" Type="http://schemas.openxmlformats.org/officeDocument/2006/relationships/hyperlink" Target="http://www.esem.org.mk/en/pdf/Publikacii/2014/Zdravjeto%20na%20Romite%20od%20rodov%20aspekt%20EN.pdf" TargetMode="External"/><Relationship Id="rId31" Type="http://schemas.openxmlformats.org/officeDocument/2006/relationships/hyperlink" Target="https://www.unicef.org/serbia/media/921/file/Child%20marriage%20among%20the%20Roma%20population%20in%20Serbia.pdf" TargetMode="External"/><Relationship Id="rId4" Type="http://schemas.openxmlformats.org/officeDocument/2006/relationships/hyperlink" Target="https://fra.europa.eu/en/publications-and-resources/data-and-maps/survey-discrimination-and-social-exclusion-roma-eu-2011?mdq1=theme&amp;mdq2=3508" TargetMode="External"/><Relationship Id="rId9" Type="http://schemas.openxmlformats.org/officeDocument/2006/relationships/hyperlink" Target="https://fra.europa.eu/en/publication/2018/roma-education-to-employment" TargetMode="External"/><Relationship Id="rId14" Type="http://schemas.openxmlformats.org/officeDocument/2006/relationships/hyperlink" Target="https://www.rcc.int/romaintegration2020/download/docs/Jelena%20Tadzic%20-%202017%20Regional%20Roma%20Survey.pdf/2ad5c4561c95c8c46ef5933cd75cbad8.pdf" TargetMode="External"/><Relationship Id="rId22" Type="http://schemas.openxmlformats.org/officeDocument/2006/relationships/hyperlink" Target="https://www.opensocietyfoundations.org/uploads/a18cb239-e976-43f6-bdd4-7fa753ed7345/Roma-Early-Childhood-Inclusion-Report-20120813.pdf" TargetMode="External"/><Relationship Id="rId27" Type="http://schemas.openxmlformats.org/officeDocument/2006/relationships/hyperlink" Target="http://www.errc.org/uploads/upload_en/file/romania-crc-submission-july-2016.pdf" TargetMode="External"/><Relationship Id="rId30" Type="http://schemas.openxmlformats.org/officeDocument/2006/relationships/hyperlink" Target="https://www.unicef.org/eca/media/1071/file/report_rights_of_Roma_children_women_full_report.pdf" TargetMode="External"/><Relationship Id="rId35" Type="http://schemas.openxmlformats.org/officeDocument/2006/relationships/hyperlink" Target="http://www.chirikli.com.ua/index.php/en/library/item/93-monitoring-the-human-rights-situation-of-roma-in-ukraine" TargetMode="External"/><Relationship Id="rId8" Type="http://schemas.openxmlformats.org/officeDocument/2006/relationships/hyperlink" Target="https://fra.europa.eu/en/publication/2018/roma-inclusion" TargetMode="External"/><Relationship Id="rId3" Type="http://schemas.openxmlformats.org/officeDocument/2006/relationships/hyperlink" Target="https://www.eurasia.undp.org/content/dam/rbec/docs/Roma%20Survey%202004%20Dataset%20SPSS.zip" TargetMode="External"/><Relationship Id="rId12" Type="http://schemas.openxmlformats.org/officeDocument/2006/relationships/hyperlink" Target="https://www.eurasia.undp.org/content/rbec/en/home/library/roma/regional-roma-survey-2017-country-fact-sheets.html" TargetMode="External"/><Relationship Id="rId17" Type="http://schemas.openxmlformats.org/officeDocument/2006/relationships/hyperlink" Target="https://ec.europa.eu/knowledge4policy/dataset/ds00141_en" TargetMode="External"/><Relationship Id="rId25" Type="http://schemas.openxmlformats.org/officeDocument/2006/relationships/hyperlink" Target="https://rm.coe.int/6gr-extract-web-en/16808b6552" TargetMode="External"/><Relationship Id="rId33" Type="http://schemas.openxmlformats.org/officeDocument/2006/relationships/hyperlink" Target="https://rm.coe.int/the-human-rights-of-roma-and-travellers-in-europe/168079b434" TargetMode="External"/><Relationship Id="rId38" Type="http://schemas.openxmlformats.org/officeDocument/2006/relationships/hyperlink" Target="https://www.eurasia.undp.org/content/rbec/en/home/ourwork/sustainable-development/development-planning-and-inclusive-sustainable-growth/roma-in-central-and-southeast-europe/roma-data.html" TargetMode="Externa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assets2.hrc.org/files/assets/resources/Growing-Up-LGBT-in-America_Report.pdf?_ga=2.135854130.2033369662.1567148889-195416592.1567148889" TargetMode="External"/><Relationship Id="rId1" Type="http://schemas.openxmlformats.org/officeDocument/2006/relationships/hyperlink" Target="https://www.gov.uk/government/publications/national-lgbt-survey-summary-report/national-lgbt-survey-summary-report"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reach-energy.eu/publications" TargetMode="External"/><Relationship Id="rId1" Type="http://schemas.openxmlformats.org/officeDocument/2006/relationships/hyperlink" Target="https://www.energypoverty.eu/indicators-data"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ec.europa.eu/social/main.jsp?catId=1428&amp;langId=en"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fra.europa.eu/en/project/2014/right-independent-living-persons-disabilities" TargetMode="External"/><Relationship Id="rId2" Type="http://schemas.openxmlformats.org/officeDocument/2006/relationships/hyperlink" Target="https://fra.europa.eu/sites/default/files/fra_uploads/independent-living-development-_statistical-outcomeindicators_en.pdf" TargetMode="External"/><Relationship Id="rId1" Type="http://schemas.openxmlformats.org/officeDocument/2006/relationships/hyperlink" Target="https://www.who.int/gho/countries/en/"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education.gov.mt/en/youthguarantee/Documents/Neets%20FINAL%20REPORT_ETC.pdf" TargetMode="External"/><Relationship Id="rId1" Type="http://schemas.openxmlformats.org/officeDocument/2006/relationships/hyperlink" Target="https://researchbriefings.parliament.uk/ResearchBriefing/Summary/SN06705" TargetMode="External"/></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ec.europa.eu/commfrontoffice/publicopinion/index.cfm/Survey/getSurveyDetail/search/378/surveyKy/1002" TargetMode="External"/><Relationship Id="rId7" Type="http://schemas.openxmlformats.org/officeDocument/2006/relationships/hyperlink" Target="https://www.ons.gov.uk/peoplepopulationandcommunity/birthsdeathsandmarriages/ageing" TargetMode="External"/><Relationship Id="rId2" Type="http://schemas.openxmlformats.org/officeDocument/2006/relationships/hyperlink" Target="https://ec.europa.eu/eurostat/cache/infographs/elderly/index.html" TargetMode="External"/><Relationship Id="rId1" Type="http://schemas.openxmlformats.org/officeDocument/2006/relationships/hyperlink" Target="https://ec.europa.eu/eurostat/statistics-explained/index.php/People_in_the_EU_-_statistics_on_an_ageing_society" TargetMode="External"/><Relationship Id="rId6" Type="http://schemas.openxmlformats.org/officeDocument/2006/relationships/hyperlink" Target="https://www.ageing.ox.ac.uk/files/Future_of_Ageing_Report.pdf" TargetMode="External"/><Relationship Id="rId5" Type="http://schemas.openxmlformats.org/officeDocument/2006/relationships/hyperlink" Target="https://www.census.gov/newsroom/facts-for-features/2017/cb17-ff08.html" TargetMode="External"/><Relationship Id="rId4" Type="http://schemas.openxmlformats.org/officeDocument/2006/relationships/hyperlink" Target="https://acl.gov/sites/default/files/Aging%20and%20Disability%20in%20America/2017OlderAmericansProfile.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edrc.ro/docs/docs/cercetari/Barometrul-incluziunii-romilor.pdf" TargetMode="External"/><Relationship Id="rId2" Type="http://schemas.openxmlformats.org/officeDocument/2006/relationships/hyperlink" Target="https://www.eurofound.europa.eu/data/european-quality-of-life-survey" TargetMode="External"/><Relationship Id="rId1" Type="http://schemas.openxmlformats.org/officeDocument/2006/relationships/hyperlink" Target="https://www.eurofound.europa.eu/sites/default/files/ef_publication/field_ef_document/ef1733en.pdf" TargetMode="External"/><Relationship Id="rId6" Type="http://schemas.openxmlformats.org/officeDocument/2006/relationships/hyperlink" Target="https://www.homelessnessaustralia.org.au/about/homelessness-statistics" TargetMode="External"/><Relationship Id="rId5" Type="http://schemas.openxmlformats.org/officeDocument/2006/relationships/hyperlink" Target="https://www.homelessnessaustralia.org.au/fact-sheets" TargetMode="External"/><Relationship Id="rId4" Type="http://schemas.openxmlformats.org/officeDocument/2006/relationships/hyperlink" Target="https://www.usich.gov/tools-for-action/map/"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www.bamf.de/SharedDocs/Anlagen/EN/Publikationen/EMN/Studien/wp82-arbeitsmarktintegration-drittstaatsangehoeriger.pdf?__blob=publicationFile" TargetMode="External"/><Relationship Id="rId1" Type="http://schemas.openxmlformats.org/officeDocument/2006/relationships/hyperlink" Target="https://www.hrw.org/sites/default/files/world_report_download/hrw_world_report_2019.pdf"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www.childrenleftbehind.eu/wp-content/uploads/2011/05/2006_CRIC-UNICEF_CLB_Moldova1.pdf" TargetMode="External"/><Relationship Id="rId1" Type="http://schemas.openxmlformats.org/officeDocument/2006/relationships/hyperlink" Target="http://www.childrenleftbehind.eu/wp-content/uploads/2011/05/2007_OMBUDSM_CLB_Lithuania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5"/>
  <sheetViews>
    <sheetView zoomScaleNormal="100" workbookViewId="0">
      <pane xSplit="1" ySplit="2" topLeftCell="E15" activePane="bottomRight" state="frozen"/>
      <selection pane="topRight" activeCell="B1" sqref="B1"/>
      <selection pane="bottomLeft" activeCell="A3" sqref="A3"/>
      <selection pane="bottomRight" activeCell="M17" sqref="M17"/>
    </sheetView>
  </sheetViews>
  <sheetFormatPr baseColWidth="10" defaultColWidth="12.6640625" defaultRowHeight="15" customHeight="1"/>
  <cols>
    <col min="1" max="1" width="26.1640625" style="3" customWidth="1"/>
    <col min="2" max="2" width="9.83203125" style="1" customWidth="1"/>
    <col min="3" max="3" width="17.83203125" style="1" customWidth="1"/>
    <col min="4" max="4" width="27.83203125" style="1" customWidth="1"/>
    <col min="5" max="5" width="32.6640625" style="1" customWidth="1"/>
    <col min="6" max="6" width="13.33203125" style="1" customWidth="1"/>
    <col min="7" max="7" width="13.6640625" style="1" customWidth="1"/>
    <col min="8" max="8" width="27.1640625" style="1" customWidth="1"/>
    <col min="9" max="9" width="18.5" style="1" customWidth="1"/>
    <col min="10" max="10" width="11.5" style="1" customWidth="1"/>
    <col min="11" max="11" width="20" style="5" customWidth="1"/>
    <col min="12" max="12" width="24.6640625" style="1" customWidth="1"/>
    <col min="13" max="13" width="19.5" style="1" customWidth="1"/>
    <col min="14" max="27" width="7.6640625" style="1" customWidth="1"/>
    <col min="28" max="16384" width="12.6640625" style="1"/>
  </cols>
  <sheetData>
    <row r="1" spans="1:27" ht="20.25" customHeight="1" thickBot="1">
      <c r="A1" s="428" t="s">
        <v>207</v>
      </c>
      <c r="B1" s="429"/>
      <c r="C1" s="429"/>
      <c r="D1" s="429"/>
      <c r="E1" s="429"/>
      <c r="F1" s="429"/>
      <c r="G1" s="429"/>
      <c r="H1" s="429"/>
      <c r="I1" s="429"/>
      <c r="J1" s="429"/>
      <c r="K1" s="429"/>
      <c r="L1" s="429"/>
      <c r="M1" s="430"/>
    </row>
    <row r="2" spans="1:27" ht="17" thickBot="1">
      <c r="A2" s="122" t="s">
        <v>0</v>
      </c>
      <c r="B2" s="123" t="s">
        <v>123</v>
      </c>
      <c r="C2" s="122" t="s">
        <v>128</v>
      </c>
      <c r="D2" s="123" t="s">
        <v>155</v>
      </c>
      <c r="E2" s="122" t="s">
        <v>1</v>
      </c>
      <c r="F2" s="123" t="s">
        <v>142</v>
      </c>
      <c r="G2" s="122" t="s">
        <v>4</v>
      </c>
      <c r="H2" s="123" t="s">
        <v>2</v>
      </c>
      <c r="I2" s="122" t="s">
        <v>3</v>
      </c>
      <c r="J2" s="123" t="s">
        <v>5</v>
      </c>
      <c r="K2" s="124" t="s">
        <v>148</v>
      </c>
      <c r="L2" s="123" t="s">
        <v>278</v>
      </c>
      <c r="M2" s="122" t="s">
        <v>129</v>
      </c>
    </row>
    <row r="3" spans="1:27" ht="129" customHeight="1" thickBot="1">
      <c r="A3" s="131" t="s">
        <v>124</v>
      </c>
      <c r="B3" s="130">
        <v>2004</v>
      </c>
      <c r="C3" s="129" t="s">
        <v>8</v>
      </c>
      <c r="D3" s="128" t="s">
        <v>137</v>
      </c>
      <c r="E3" s="129" t="s">
        <v>6</v>
      </c>
      <c r="F3" s="128" t="s">
        <v>23</v>
      </c>
      <c r="G3" s="129" t="s">
        <v>11</v>
      </c>
      <c r="H3" s="128" t="s">
        <v>7</v>
      </c>
      <c r="I3" s="129" t="s">
        <v>10</v>
      </c>
      <c r="J3" s="128" t="s">
        <v>12</v>
      </c>
      <c r="K3" s="127" t="s">
        <v>130</v>
      </c>
      <c r="L3" s="126" t="s">
        <v>13</v>
      </c>
      <c r="M3" s="125" t="s">
        <v>132</v>
      </c>
    </row>
    <row r="4" spans="1:27" ht="209.25" customHeight="1" thickBot="1">
      <c r="A4" s="50" t="s">
        <v>125</v>
      </c>
      <c r="B4" s="132">
        <v>2011</v>
      </c>
      <c r="C4" s="133" t="s">
        <v>9</v>
      </c>
      <c r="D4" s="134" t="s">
        <v>138</v>
      </c>
      <c r="E4" s="133" t="s">
        <v>6</v>
      </c>
      <c r="F4" s="134" t="s">
        <v>23</v>
      </c>
      <c r="G4" s="133" t="s">
        <v>35</v>
      </c>
      <c r="H4" s="134" t="s">
        <v>156</v>
      </c>
      <c r="I4" s="133" t="s">
        <v>157</v>
      </c>
      <c r="J4" s="134" t="s">
        <v>12</v>
      </c>
      <c r="K4" s="135" t="s">
        <v>139</v>
      </c>
      <c r="L4" s="136" t="s">
        <v>151</v>
      </c>
      <c r="M4" s="137" t="s">
        <v>131</v>
      </c>
    </row>
    <row r="5" spans="1:27" s="4" customFormat="1" ht="97" thickBot="1">
      <c r="A5" s="131" t="s">
        <v>133</v>
      </c>
      <c r="B5" s="130">
        <v>2011</v>
      </c>
      <c r="C5" s="129" t="s">
        <v>126</v>
      </c>
      <c r="D5" s="128" t="s">
        <v>127</v>
      </c>
      <c r="E5" s="129" t="s">
        <v>6</v>
      </c>
      <c r="F5" s="128" t="s">
        <v>158</v>
      </c>
      <c r="G5" s="129" t="s">
        <v>159</v>
      </c>
      <c r="H5" s="128" t="s">
        <v>160</v>
      </c>
      <c r="I5" s="129" t="s">
        <v>154</v>
      </c>
      <c r="J5" s="128" t="s">
        <v>12</v>
      </c>
      <c r="K5" s="127" t="s">
        <v>152</v>
      </c>
      <c r="L5" s="126" t="s">
        <v>153</v>
      </c>
      <c r="M5" s="125" t="s">
        <v>134</v>
      </c>
    </row>
    <row r="6" spans="1:27" ht="200.25" customHeight="1" thickBot="1">
      <c r="A6" s="409" t="s">
        <v>125</v>
      </c>
      <c r="B6" s="409">
        <v>2017</v>
      </c>
      <c r="C6" s="412" t="s">
        <v>9</v>
      </c>
      <c r="D6" s="426" t="s">
        <v>487</v>
      </c>
      <c r="E6" s="412" t="s">
        <v>6</v>
      </c>
      <c r="F6" s="418" t="s">
        <v>23</v>
      </c>
      <c r="G6" s="412" t="s">
        <v>11</v>
      </c>
      <c r="H6" s="139" t="s">
        <v>7</v>
      </c>
      <c r="I6" s="139" t="s">
        <v>10</v>
      </c>
      <c r="J6" s="140" t="s">
        <v>12</v>
      </c>
      <c r="K6" s="138" t="s">
        <v>149</v>
      </c>
      <c r="L6" s="143" t="s">
        <v>13</v>
      </c>
      <c r="M6" s="137" t="s">
        <v>192</v>
      </c>
      <c r="N6" s="2"/>
      <c r="O6" s="2"/>
      <c r="P6" s="2"/>
      <c r="Q6" s="2"/>
      <c r="R6" s="2"/>
      <c r="S6" s="2"/>
      <c r="T6" s="2"/>
      <c r="U6" s="2"/>
      <c r="V6" s="2"/>
      <c r="W6" s="2"/>
      <c r="X6" s="2"/>
      <c r="Y6" s="2"/>
      <c r="Z6" s="2"/>
      <c r="AA6" s="2"/>
    </row>
    <row r="7" spans="1:27" ht="97" thickBot="1">
      <c r="A7" s="411"/>
      <c r="B7" s="411"/>
      <c r="C7" s="414"/>
      <c r="D7" s="427"/>
      <c r="E7" s="414"/>
      <c r="F7" s="419"/>
      <c r="G7" s="414"/>
      <c r="H7" s="133" t="s">
        <v>15</v>
      </c>
      <c r="I7" s="133" t="s">
        <v>10</v>
      </c>
      <c r="J7" s="133" t="s">
        <v>12</v>
      </c>
      <c r="K7" s="141" t="s">
        <v>14</v>
      </c>
      <c r="L7" s="144" t="s">
        <v>16</v>
      </c>
      <c r="M7" s="142" t="s">
        <v>192</v>
      </c>
    </row>
    <row r="8" spans="1:27" s="4" customFormat="1" ht="85.5" customHeight="1" thickBot="1">
      <c r="A8" s="403" t="s">
        <v>17</v>
      </c>
      <c r="B8" s="405">
        <v>2008</v>
      </c>
      <c r="C8" s="407" t="s">
        <v>24</v>
      </c>
      <c r="D8" s="405" t="s">
        <v>141</v>
      </c>
      <c r="E8" s="420" t="s">
        <v>6</v>
      </c>
      <c r="F8" s="422" t="s">
        <v>23</v>
      </c>
      <c r="G8" s="424" t="s">
        <v>20</v>
      </c>
      <c r="H8" s="422" t="s">
        <v>18</v>
      </c>
      <c r="I8" s="424" t="s">
        <v>19</v>
      </c>
      <c r="J8" s="129" t="s">
        <v>12</v>
      </c>
      <c r="K8" s="127" t="s">
        <v>140</v>
      </c>
      <c r="L8" s="145" t="s">
        <v>21</v>
      </c>
      <c r="M8" s="146" t="s">
        <v>170</v>
      </c>
      <c r="N8" s="6"/>
      <c r="O8" s="6"/>
      <c r="P8" s="6"/>
      <c r="Q8" s="6"/>
      <c r="R8" s="6"/>
      <c r="S8" s="6"/>
      <c r="T8" s="6"/>
      <c r="U8" s="6"/>
      <c r="V8" s="6"/>
      <c r="W8" s="6"/>
      <c r="X8" s="6"/>
      <c r="Y8" s="6"/>
      <c r="Z8" s="6"/>
      <c r="AA8" s="6"/>
    </row>
    <row r="9" spans="1:27" s="4" customFormat="1" ht="113" thickBot="1">
      <c r="A9" s="404"/>
      <c r="B9" s="406"/>
      <c r="C9" s="408"/>
      <c r="D9" s="406"/>
      <c r="E9" s="421"/>
      <c r="F9" s="423"/>
      <c r="G9" s="425"/>
      <c r="H9" s="423"/>
      <c r="I9" s="425"/>
      <c r="J9" s="129" t="s">
        <v>12</v>
      </c>
      <c r="K9" s="127" t="s">
        <v>22</v>
      </c>
      <c r="L9" s="147" t="s">
        <v>25</v>
      </c>
      <c r="M9" s="146" t="s">
        <v>170</v>
      </c>
    </row>
    <row r="10" spans="1:27" ht="81" thickBot="1">
      <c r="A10" s="409" t="s">
        <v>135</v>
      </c>
      <c r="B10" s="409">
        <v>2016</v>
      </c>
      <c r="C10" s="412" t="s">
        <v>24</v>
      </c>
      <c r="D10" s="409" t="s">
        <v>147</v>
      </c>
      <c r="E10" s="409" t="s">
        <v>6</v>
      </c>
      <c r="F10" s="412" t="s">
        <v>23</v>
      </c>
      <c r="G10" s="412" t="s">
        <v>27</v>
      </c>
      <c r="H10" s="139" t="s">
        <v>18</v>
      </c>
      <c r="I10" s="139" t="s">
        <v>19</v>
      </c>
      <c r="J10" s="149" t="s">
        <v>12</v>
      </c>
      <c r="K10" s="48" t="s">
        <v>26</v>
      </c>
      <c r="L10" s="150" t="s">
        <v>28</v>
      </c>
      <c r="M10" s="415" t="s">
        <v>136</v>
      </c>
      <c r="N10" s="2"/>
      <c r="O10" s="2"/>
      <c r="P10" s="2"/>
      <c r="Q10" s="2"/>
      <c r="R10" s="2"/>
      <c r="S10" s="2"/>
      <c r="T10" s="2"/>
      <c r="U10" s="2"/>
      <c r="V10" s="2"/>
      <c r="W10" s="2"/>
      <c r="X10" s="2"/>
      <c r="Y10" s="2"/>
      <c r="Z10" s="2"/>
      <c r="AA10" s="2"/>
    </row>
    <row r="11" spans="1:27" ht="209" thickBot="1">
      <c r="A11" s="410"/>
      <c r="B11" s="410"/>
      <c r="C11" s="413"/>
      <c r="D11" s="410"/>
      <c r="E11" s="410"/>
      <c r="F11" s="413"/>
      <c r="G11" s="413"/>
      <c r="H11" s="133" t="s">
        <v>29</v>
      </c>
      <c r="I11" s="133" t="s">
        <v>30</v>
      </c>
      <c r="J11" s="133" t="s">
        <v>12</v>
      </c>
      <c r="K11" s="135" t="s">
        <v>145</v>
      </c>
      <c r="L11" s="151" t="s">
        <v>31</v>
      </c>
      <c r="M11" s="416"/>
    </row>
    <row r="12" spans="1:27" ht="102.75" customHeight="1" thickBot="1">
      <c r="A12" s="410"/>
      <c r="B12" s="410"/>
      <c r="C12" s="413"/>
      <c r="D12" s="410"/>
      <c r="E12" s="410"/>
      <c r="F12" s="413"/>
      <c r="G12" s="413"/>
      <c r="H12" s="133" t="s">
        <v>488</v>
      </c>
      <c r="I12" s="133" t="s">
        <v>164</v>
      </c>
      <c r="J12" s="133" t="s">
        <v>12</v>
      </c>
      <c r="K12" s="135" t="s">
        <v>146</v>
      </c>
      <c r="L12" s="144" t="s">
        <v>161</v>
      </c>
      <c r="M12" s="416"/>
    </row>
    <row r="13" spans="1:27" ht="113" thickBot="1">
      <c r="A13" s="410"/>
      <c r="B13" s="410"/>
      <c r="C13" s="413"/>
      <c r="D13" s="410"/>
      <c r="E13" s="410"/>
      <c r="F13" s="413"/>
      <c r="G13" s="413"/>
      <c r="H13" s="133" t="s">
        <v>162</v>
      </c>
      <c r="I13" s="133" t="s">
        <v>163</v>
      </c>
      <c r="J13" s="133" t="s">
        <v>12</v>
      </c>
      <c r="K13" s="135" t="s">
        <v>144</v>
      </c>
      <c r="L13" s="144" t="s">
        <v>165</v>
      </c>
      <c r="M13" s="416"/>
    </row>
    <row r="14" spans="1:27" ht="81" thickBot="1">
      <c r="A14" s="411"/>
      <c r="B14" s="411"/>
      <c r="C14" s="414"/>
      <c r="D14" s="411"/>
      <c r="E14" s="411"/>
      <c r="F14" s="414"/>
      <c r="G14" s="414"/>
      <c r="H14" s="133" t="s">
        <v>166</v>
      </c>
      <c r="I14" s="133" t="s">
        <v>167</v>
      </c>
      <c r="J14" s="133" t="s">
        <v>12</v>
      </c>
      <c r="K14" s="135" t="s">
        <v>143</v>
      </c>
      <c r="L14" s="144" t="s">
        <v>168</v>
      </c>
      <c r="M14" s="417"/>
    </row>
    <row r="15" spans="1:27" ht="193" thickBot="1">
      <c r="A15" s="148" t="s">
        <v>32</v>
      </c>
      <c r="B15" s="153" t="s">
        <v>36</v>
      </c>
      <c r="C15" s="154" t="s">
        <v>24</v>
      </c>
      <c r="D15" s="148" t="s">
        <v>150</v>
      </c>
      <c r="E15" s="157" t="s">
        <v>6</v>
      </c>
      <c r="F15" s="148" t="s">
        <v>33</v>
      </c>
      <c r="G15" s="156" t="s">
        <v>35</v>
      </c>
      <c r="H15" s="148" t="s">
        <v>34</v>
      </c>
      <c r="I15" s="154" t="s">
        <v>35</v>
      </c>
      <c r="J15" s="148" t="s">
        <v>354</v>
      </c>
      <c r="K15" s="155" t="s">
        <v>32</v>
      </c>
      <c r="L15" s="152" t="s">
        <v>37</v>
      </c>
      <c r="M15" s="153" t="s">
        <v>36</v>
      </c>
      <c r="N15" s="2"/>
      <c r="O15" s="2"/>
      <c r="P15" s="2"/>
      <c r="Q15" s="2"/>
      <c r="R15" s="2"/>
      <c r="S15" s="2"/>
      <c r="T15" s="2"/>
      <c r="U15" s="2"/>
      <c r="V15" s="2"/>
      <c r="W15" s="2"/>
      <c r="X15" s="2"/>
      <c r="Y15" s="2"/>
      <c r="Z15" s="2"/>
      <c r="AA15" s="2"/>
    </row>
    <row r="16" spans="1:27" ht="228" customHeight="1" thickBot="1">
      <c r="A16" s="50" t="s">
        <v>169</v>
      </c>
      <c r="B16" s="42">
        <v>2014</v>
      </c>
      <c r="C16" s="46" t="s">
        <v>40</v>
      </c>
      <c r="D16" s="163" t="s">
        <v>38</v>
      </c>
      <c r="E16" s="46" t="s">
        <v>196</v>
      </c>
      <c r="F16" s="42" t="s">
        <v>197</v>
      </c>
      <c r="G16" s="46" t="s">
        <v>42</v>
      </c>
      <c r="H16" s="163" t="s">
        <v>39</v>
      </c>
      <c r="I16" s="46" t="s">
        <v>41</v>
      </c>
      <c r="J16" s="163" t="s">
        <v>354</v>
      </c>
      <c r="K16" s="164" t="s">
        <v>38</v>
      </c>
      <c r="L16" s="165" t="s">
        <v>43</v>
      </c>
      <c r="M16" s="50" t="s">
        <v>193</v>
      </c>
    </row>
    <row r="17" spans="1:27" ht="193" thickBot="1">
      <c r="A17" s="153" t="s">
        <v>171</v>
      </c>
      <c r="B17" s="157">
        <v>2014</v>
      </c>
      <c r="C17" s="148" t="s">
        <v>46</v>
      </c>
      <c r="D17" s="154" t="s">
        <v>44</v>
      </c>
      <c r="E17" s="148" t="s">
        <v>6</v>
      </c>
      <c r="F17" s="148" t="s">
        <v>176</v>
      </c>
      <c r="G17" s="148" t="s">
        <v>48</v>
      </c>
      <c r="H17" s="148" t="s">
        <v>45</v>
      </c>
      <c r="I17" s="148" t="s">
        <v>47</v>
      </c>
      <c r="J17" s="148" t="s">
        <v>354</v>
      </c>
      <c r="K17" s="158" t="s">
        <v>44</v>
      </c>
      <c r="L17" s="152" t="s">
        <v>489</v>
      </c>
      <c r="M17" s="153" t="s">
        <v>193</v>
      </c>
      <c r="N17" s="2"/>
      <c r="O17" s="2"/>
      <c r="P17" s="2"/>
      <c r="Q17" s="2"/>
      <c r="R17" s="2"/>
      <c r="S17" s="2"/>
      <c r="T17" s="2"/>
      <c r="U17" s="2"/>
      <c r="V17" s="2"/>
      <c r="W17" s="2"/>
      <c r="X17" s="2"/>
      <c r="Y17" s="2"/>
      <c r="Z17" s="2"/>
      <c r="AA17" s="2"/>
    </row>
    <row r="18" spans="1:27" ht="145" thickBot="1">
      <c r="A18" s="50" t="s">
        <v>172</v>
      </c>
      <c r="B18" s="50">
        <v>2013</v>
      </c>
      <c r="C18" s="161" t="s">
        <v>51</v>
      </c>
      <c r="D18" s="46" t="s">
        <v>49</v>
      </c>
      <c r="E18" s="161" t="s">
        <v>6</v>
      </c>
      <c r="F18" s="46" t="s">
        <v>23</v>
      </c>
      <c r="G18" s="162" t="s">
        <v>53</v>
      </c>
      <c r="H18" s="46" t="s">
        <v>50</v>
      </c>
      <c r="I18" s="161" t="s">
        <v>52</v>
      </c>
      <c r="J18" s="46" t="s">
        <v>354</v>
      </c>
      <c r="K18" s="160" t="s">
        <v>49</v>
      </c>
      <c r="L18" s="159" t="s">
        <v>54</v>
      </c>
      <c r="M18" s="50" t="s">
        <v>193</v>
      </c>
    </row>
    <row r="19" spans="1:27" ht="235.5" customHeight="1" thickBot="1">
      <c r="A19" s="45" t="s">
        <v>173</v>
      </c>
      <c r="B19" s="36">
        <v>2008</v>
      </c>
      <c r="C19" s="37" t="s">
        <v>57</v>
      </c>
      <c r="D19" s="37" t="s">
        <v>55</v>
      </c>
      <c r="E19" s="37" t="s">
        <v>490</v>
      </c>
      <c r="F19" s="47" t="s">
        <v>194</v>
      </c>
      <c r="G19" s="37" t="s">
        <v>491</v>
      </c>
      <c r="H19" s="37" t="s">
        <v>56</v>
      </c>
      <c r="I19" s="37" t="s">
        <v>35</v>
      </c>
      <c r="J19" s="37" t="s">
        <v>354</v>
      </c>
      <c r="K19" s="38" t="s">
        <v>55</v>
      </c>
      <c r="L19" s="39" t="s">
        <v>58</v>
      </c>
      <c r="M19" s="40" t="s">
        <v>193</v>
      </c>
      <c r="N19" s="2"/>
      <c r="O19" s="2"/>
      <c r="P19" s="2"/>
      <c r="Q19" s="2"/>
      <c r="R19" s="2"/>
      <c r="S19" s="2"/>
      <c r="T19" s="2"/>
      <c r="U19" s="2"/>
      <c r="V19" s="2"/>
      <c r="W19" s="2"/>
      <c r="X19" s="2"/>
      <c r="Y19" s="2"/>
      <c r="Z19" s="2"/>
      <c r="AA19" s="2"/>
    </row>
    <row r="20" spans="1:27" ht="193" thickBot="1">
      <c r="A20" s="33" t="s">
        <v>181</v>
      </c>
      <c r="B20" s="34">
        <v>2012</v>
      </c>
      <c r="C20" s="41" t="s">
        <v>62</v>
      </c>
      <c r="D20" s="44" t="s">
        <v>59</v>
      </c>
      <c r="E20" s="41" t="s">
        <v>60</v>
      </c>
      <c r="F20" s="42" t="s">
        <v>180</v>
      </c>
      <c r="G20" s="41" t="s">
        <v>63</v>
      </c>
      <c r="H20" s="41" t="s">
        <v>61</v>
      </c>
      <c r="I20" s="41" t="s">
        <v>52</v>
      </c>
      <c r="J20" s="41" t="s">
        <v>354</v>
      </c>
      <c r="K20" s="43" t="s">
        <v>59</v>
      </c>
      <c r="L20" s="44" t="s">
        <v>64</v>
      </c>
      <c r="M20" s="35" t="s">
        <v>198</v>
      </c>
    </row>
    <row r="21" spans="1:27" ht="120" customHeight="1" thickBot="1">
      <c r="A21" s="399" t="s">
        <v>174</v>
      </c>
      <c r="B21" s="166">
        <v>2011</v>
      </c>
      <c r="C21" s="401" t="s">
        <v>67</v>
      </c>
      <c r="D21" s="167" t="s">
        <v>65</v>
      </c>
      <c r="E21" s="397" t="s">
        <v>66</v>
      </c>
      <c r="F21" s="169" t="s">
        <v>194</v>
      </c>
      <c r="G21" s="395" t="s">
        <v>492</v>
      </c>
      <c r="H21" s="401" t="s">
        <v>493</v>
      </c>
      <c r="I21" s="393" t="s">
        <v>68</v>
      </c>
      <c r="J21" s="395" t="s">
        <v>371</v>
      </c>
      <c r="K21" s="170" t="s">
        <v>65</v>
      </c>
      <c r="L21" s="397" t="s">
        <v>69</v>
      </c>
      <c r="M21" s="399" t="s">
        <v>195</v>
      </c>
      <c r="N21" s="2"/>
      <c r="O21" s="2"/>
      <c r="P21" s="2"/>
      <c r="Q21" s="2"/>
      <c r="R21" s="2"/>
      <c r="S21" s="2"/>
      <c r="T21" s="2"/>
      <c r="U21" s="2"/>
      <c r="V21" s="2"/>
      <c r="W21" s="2"/>
      <c r="X21" s="2"/>
      <c r="Y21" s="2"/>
      <c r="Z21" s="2"/>
      <c r="AA21" s="2"/>
    </row>
    <row r="22" spans="1:27" ht="145" thickBot="1">
      <c r="A22" s="400"/>
      <c r="B22" s="166">
        <v>2015</v>
      </c>
      <c r="C22" s="402"/>
      <c r="D22" s="168" t="s">
        <v>70</v>
      </c>
      <c r="E22" s="398"/>
      <c r="F22" s="169" t="s">
        <v>194</v>
      </c>
      <c r="G22" s="396"/>
      <c r="H22" s="402"/>
      <c r="I22" s="394"/>
      <c r="J22" s="396"/>
      <c r="K22" s="171" t="s">
        <v>70</v>
      </c>
      <c r="L22" s="398"/>
      <c r="M22" s="400"/>
    </row>
    <row r="23" spans="1:27" ht="241" thickBot="1">
      <c r="A23" s="174" t="s">
        <v>494</v>
      </c>
      <c r="B23" s="50">
        <v>2018</v>
      </c>
      <c r="C23" s="173" t="s">
        <v>67</v>
      </c>
      <c r="D23" s="139" t="s">
        <v>71</v>
      </c>
      <c r="E23" s="49" t="s">
        <v>72</v>
      </c>
      <c r="F23" s="49" t="s">
        <v>194</v>
      </c>
      <c r="G23" s="173" t="s">
        <v>74</v>
      </c>
      <c r="H23" s="139" t="s">
        <v>495</v>
      </c>
      <c r="I23" s="173" t="s">
        <v>73</v>
      </c>
      <c r="J23" s="139" t="s">
        <v>371</v>
      </c>
      <c r="K23" s="172" t="s">
        <v>71</v>
      </c>
      <c r="L23" s="49" t="s">
        <v>75</v>
      </c>
      <c r="M23" s="50" t="s">
        <v>195</v>
      </c>
      <c r="N23" s="2"/>
      <c r="O23" s="2"/>
      <c r="P23" s="2"/>
      <c r="Q23" s="2"/>
      <c r="R23" s="2"/>
      <c r="S23" s="2"/>
      <c r="T23" s="2"/>
      <c r="U23" s="2"/>
      <c r="V23" s="2"/>
      <c r="W23" s="2"/>
      <c r="X23" s="2"/>
      <c r="Y23" s="2"/>
      <c r="Z23" s="2"/>
      <c r="AA23" s="2"/>
    </row>
    <row r="24" spans="1:27" ht="161" thickBot="1">
      <c r="A24" s="166" t="s">
        <v>175</v>
      </c>
      <c r="B24" s="175">
        <v>2017</v>
      </c>
      <c r="C24" s="168" t="s">
        <v>67</v>
      </c>
      <c r="D24" s="176" t="s">
        <v>76</v>
      </c>
      <c r="E24" s="168" t="s">
        <v>72</v>
      </c>
      <c r="F24" s="176" t="s">
        <v>194</v>
      </c>
      <c r="G24" s="168" t="s">
        <v>35</v>
      </c>
      <c r="H24" s="176" t="s">
        <v>77</v>
      </c>
      <c r="I24" s="177" t="s">
        <v>78</v>
      </c>
      <c r="J24" s="176" t="s">
        <v>371</v>
      </c>
      <c r="K24" s="171" t="s">
        <v>76</v>
      </c>
      <c r="L24" s="177" t="s">
        <v>496</v>
      </c>
      <c r="M24" s="178" t="s">
        <v>195</v>
      </c>
    </row>
    <row r="25" spans="1:27" ht="129" thickBot="1">
      <c r="A25" s="50" t="s">
        <v>497</v>
      </c>
      <c r="B25" s="50">
        <v>2016</v>
      </c>
      <c r="C25" s="140" t="s">
        <v>51</v>
      </c>
      <c r="D25" s="49" t="s">
        <v>79</v>
      </c>
      <c r="E25" s="140" t="s">
        <v>80</v>
      </c>
      <c r="F25" s="139" t="s">
        <v>194</v>
      </c>
      <c r="G25" s="140" t="s">
        <v>35</v>
      </c>
      <c r="H25" s="139" t="s">
        <v>81</v>
      </c>
      <c r="I25" s="140" t="s">
        <v>35</v>
      </c>
      <c r="J25" s="139" t="s">
        <v>371</v>
      </c>
      <c r="K25" s="180" t="s">
        <v>177</v>
      </c>
      <c r="L25" s="49" t="s">
        <v>82</v>
      </c>
      <c r="M25" s="179" t="s">
        <v>195</v>
      </c>
      <c r="N25" s="2"/>
      <c r="O25" s="2"/>
      <c r="P25" s="2"/>
      <c r="Q25" s="2"/>
      <c r="R25" s="2"/>
      <c r="S25" s="2"/>
      <c r="T25" s="2"/>
      <c r="U25" s="2"/>
      <c r="V25" s="2"/>
      <c r="W25" s="2"/>
      <c r="X25" s="2"/>
      <c r="Y25" s="2"/>
      <c r="Z25" s="2"/>
      <c r="AA25" s="2"/>
    </row>
    <row r="26" spans="1:27" ht="129" thickBot="1">
      <c r="A26" s="166" t="s">
        <v>178</v>
      </c>
      <c r="B26" s="175">
        <v>2017</v>
      </c>
      <c r="C26" s="168" t="s">
        <v>51</v>
      </c>
      <c r="D26" s="176" t="s">
        <v>83</v>
      </c>
      <c r="E26" s="168" t="s">
        <v>200</v>
      </c>
      <c r="F26" s="176" t="s">
        <v>199</v>
      </c>
      <c r="G26" s="168" t="s">
        <v>35</v>
      </c>
      <c r="H26" s="176" t="s">
        <v>84</v>
      </c>
      <c r="I26" s="168" t="s">
        <v>35</v>
      </c>
      <c r="J26" s="176" t="s">
        <v>354</v>
      </c>
      <c r="K26" s="171" t="s">
        <v>179</v>
      </c>
      <c r="L26" s="181" t="s">
        <v>85</v>
      </c>
      <c r="M26" s="166" t="s">
        <v>193</v>
      </c>
    </row>
    <row r="27" spans="1:27" ht="145" thickBot="1">
      <c r="A27" s="50" t="s">
        <v>182</v>
      </c>
      <c r="B27" s="42">
        <v>2016</v>
      </c>
      <c r="C27" s="133" t="s">
        <v>88</v>
      </c>
      <c r="D27" s="183" t="s">
        <v>498</v>
      </c>
      <c r="E27" s="133" t="s">
        <v>86</v>
      </c>
      <c r="F27" s="183" t="s">
        <v>201</v>
      </c>
      <c r="G27" s="133" t="s">
        <v>90</v>
      </c>
      <c r="H27" s="183" t="s">
        <v>87</v>
      </c>
      <c r="I27" s="133" t="s">
        <v>89</v>
      </c>
      <c r="J27" s="183" t="s">
        <v>354</v>
      </c>
      <c r="K27" s="135" t="s">
        <v>498</v>
      </c>
      <c r="L27" s="182" t="s">
        <v>91</v>
      </c>
      <c r="M27" s="50" t="s">
        <v>193</v>
      </c>
    </row>
    <row r="28" spans="1:27" ht="161" thickBot="1">
      <c r="A28" s="166" t="s">
        <v>184</v>
      </c>
      <c r="B28" s="184">
        <v>2015</v>
      </c>
      <c r="C28" s="168" t="s">
        <v>88</v>
      </c>
      <c r="D28" s="185" t="s">
        <v>202</v>
      </c>
      <c r="E28" s="168" t="s">
        <v>92</v>
      </c>
      <c r="F28" s="186" t="s">
        <v>185</v>
      </c>
      <c r="G28" s="168" t="s">
        <v>95</v>
      </c>
      <c r="H28" s="186" t="s">
        <v>93</v>
      </c>
      <c r="I28" s="168" t="s">
        <v>94</v>
      </c>
      <c r="J28" s="186" t="s">
        <v>354</v>
      </c>
      <c r="K28" s="171" t="s">
        <v>183</v>
      </c>
      <c r="L28" s="185" t="s">
        <v>96</v>
      </c>
      <c r="M28" s="187" t="s">
        <v>198</v>
      </c>
    </row>
    <row r="29" spans="1:27" ht="177" thickBot="1">
      <c r="A29" s="50" t="s">
        <v>186</v>
      </c>
      <c r="B29" s="42">
        <v>2017</v>
      </c>
      <c r="C29" s="139" t="s">
        <v>88</v>
      </c>
      <c r="D29" s="173" t="s">
        <v>97</v>
      </c>
      <c r="E29" s="190" t="s">
        <v>205</v>
      </c>
      <c r="F29" s="189" t="s">
        <v>206</v>
      </c>
      <c r="G29" s="139" t="s">
        <v>100</v>
      </c>
      <c r="H29" s="173" t="s">
        <v>98</v>
      </c>
      <c r="I29" s="139" t="s">
        <v>99</v>
      </c>
      <c r="J29" s="173" t="s">
        <v>354</v>
      </c>
      <c r="K29" s="138" t="s">
        <v>97</v>
      </c>
      <c r="L29" s="188" t="s">
        <v>101</v>
      </c>
      <c r="M29" s="50" t="s">
        <v>193</v>
      </c>
      <c r="N29" s="2"/>
      <c r="O29" s="2"/>
      <c r="P29" s="2"/>
      <c r="Q29" s="2"/>
      <c r="R29" s="2"/>
      <c r="S29" s="2"/>
      <c r="T29" s="2"/>
      <c r="U29" s="2"/>
      <c r="V29" s="2"/>
      <c r="W29" s="2"/>
      <c r="X29" s="2"/>
      <c r="Y29" s="2"/>
      <c r="Z29" s="2"/>
      <c r="AA29" s="2"/>
    </row>
    <row r="30" spans="1:27" ht="193" thickBot="1">
      <c r="A30" s="166" t="s">
        <v>203</v>
      </c>
      <c r="B30" s="175">
        <v>2018</v>
      </c>
      <c r="C30" s="168" t="s">
        <v>105</v>
      </c>
      <c r="D30" s="176" t="s">
        <v>102</v>
      </c>
      <c r="E30" s="168" t="s">
        <v>103</v>
      </c>
      <c r="F30" s="176" t="s">
        <v>194</v>
      </c>
      <c r="G30" s="168" t="s">
        <v>107</v>
      </c>
      <c r="H30" s="176" t="s">
        <v>104</v>
      </c>
      <c r="I30" s="168" t="s">
        <v>106</v>
      </c>
      <c r="J30" s="176" t="s">
        <v>371</v>
      </c>
      <c r="K30" s="171" t="s">
        <v>102</v>
      </c>
      <c r="L30" s="181" t="s">
        <v>108</v>
      </c>
      <c r="M30" s="166" t="s">
        <v>195</v>
      </c>
    </row>
    <row r="31" spans="1:27" ht="209" thickBot="1">
      <c r="A31" s="50" t="s">
        <v>187</v>
      </c>
      <c r="B31" s="50">
        <v>2012</v>
      </c>
      <c r="C31" s="173" t="s">
        <v>484</v>
      </c>
      <c r="D31" s="49" t="s">
        <v>109</v>
      </c>
      <c r="E31" s="173" t="s">
        <v>110</v>
      </c>
      <c r="F31" s="139" t="s">
        <v>194</v>
      </c>
      <c r="G31" s="173" t="s">
        <v>35</v>
      </c>
      <c r="H31" s="139" t="s">
        <v>111</v>
      </c>
      <c r="I31" s="173" t="s">
        <v>35</v>
      </c>
      <c r="J31" s="139" t="s">
        <v>371</v>
      </c>
      <c r="K31" s="172" t="s">
        <v>109</v>
      </c>
      <c r="L31" s="49" t="s">
        <v>112</v>
      </c>
      <c r="M31" s="50" t="s">
        <v>195</v>
      </c>
      <c r="N31" s="2"/>
      <c r="O31" s="2"/>
      <c r="P31" s="2"/>
      <c r="Q31" s="2"/>
      <c r="R31" s="2"/>
      <c r="S31" s="2"/>
      <c r="T31" s="2"/>
      <c r="U31" s="2"/>
      <c r="V31" s="2"/>
      <c r="W31" s="2"/>
      <c r="X31" s="2"/>
      <c r="Y31" s="2"/>
      <c r="Z31" s="2"/>
      <c r="AA31" s="2"/>
    </row>
    <row r="32" spans="1:27" ht="113" thickBot="1">
      <c r="A32" s="166" t="s">
        <v>189</v>
      </c>
      <c r="B32" s="184">
        <v>2011</v>
      </c>
      <c r="C32" s="168" t="s">
        <v>116</v>
      </c>
      <c r="D32" s="191" t="s">
        <v>113</v>
      </c>
      <c r="E32" s="168" t="s">
        <v>114</v>
      </c>
      <c r="F32" s="186" t="s">
        <v>204</v>
      </c>
      <c r="G32" s="168" t="s">
        <v>35</v>
      </c>
      <c r="H32" s="51" t="s">
        <v>115</v>
      </c>
      <c r="I32" s="168" t="s">
        <v>35</v>
      </c>
      <c r="J32" s="186" t="s">
        <v>354</v>
      </c>
      <c r="K32" s="171" t="s">
        <v>188</v>
      </c>
      <c r="L32" s="185" t="s">
        <v>485</v>
      </c>
      <c r="M32" s="166" t="s">
        <v>193</v>
      </c>
    </row>
    <row r="33" spans="1:27" s="53" customFormat="1" ht="135.75" customHeight="1" thickBot="1">
      <c r="A33" s="50" t="s">
        <v>190</v>
      </c>
      <c r="B33" s="42">
        <v>2014</v>
      </c>
      <c r="C33" s="139" t="s">
        <v>119</v>
      </c>
      <c r="D33" s="173" t="s">
        <v>117</v>
      </c>
      <c r="E33" s="50" t="s">
        <v>191</v>
      </c>
      <c r="F33" s="173" t="s">
        <v>486</v>
      </c>
      <c r="G33" s="139" t="s">
        <v>121</v>
      </c>
      <c r="H33" s="173" t="s">
        <v>118</v>
      </c>
      <c r="I33" s="139" t="s">
        <v>120</v>
      </c>
      <c r="J33" s="173" t="s">
        <v>354</v>
      </c>
      <c r="K33" s="138" t="s">
        <v>117</v>
      </c>
      <c r="L33" s="188" t="s">
        <v>122</v>
      </c>
      <c r="M33" s="50" t="s">
        <v>193</v>
      </c>
      <c r="N33" s="52"/>
      <c r="O33" s="52"/>
      <c r="P33" s="52"/>
      <c r="Q33" s="52"/>
      <c r="R33" s="52"/>
      <c r="S33" s="52"/>
      <c r="T33" s="52"/>
      <c r="U33" s="52"/>
      <c r="V33" s="52"/>
      <c r="W33" s="52"/>
      <c r="X33" s="52"/>
      <c r="Y33" s="52"/>
      <c r="Z33" s="52"/>
      <c r="AA33" s="52"/>
    </row>
    <row r="34" spans="1:27" ht="15.75" customHeight="1"/>
    <row r="35" spans="1:27" ht="15.75" customHeight="1"/>
    <row r="36" spans="1:27" ht="15.75" customHeight="1"/>
    <row r="37" spans="1:27" ht="15.75" customHeight="1"/>
    <row r="38" spans="1:27" ht="15.75" customHeight="1"/>
    <row r="39" spans="1:27" ht="15.75" customHeight="1"/>
    <row r="40" spans="1:27" ht="15.75" customHeight="1"/>
    <row r="41" spans="1:27" ht="15.75" customHeight="1"/>
    <row r="42" spans="1:27" ht="15.75" customHeight="1"/>
    <row r="43" spans="1:27" ht="15.75" customHeight="1"/>
    <row r="44" spans="1:27" ht="15.75" customHeight="1"/>
    <row r="45" spans="1:27" ht="15.75" customHeight="1"/>
    <row r="46" spans="1:27" ht="15.75" customHeight="1"/>
    <row r="47" spans="1:27" ht="15.75" customHeight="1"/>
    <row r="48" spans="1:27"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34">
    <mergeCell ref="D6:D7"/>
    <mergeCell ref="B6:B7"/>
    <mergeCell ref="A6:A7"/>
    <mergeCell ref="C6:C7"/>
    <mergeCell ref="A1:M1"/>
    <mergeCell ref="M10:M14"/>
    <mergeCell ref="E6:E7"/>
    <mergeCell ref="F6:F7"/>
    <mergeCell ref="G6:G7"/>
    <mergeCell ref="E8:E9"/>
    <mergeCell ref="F8:F9"/>
    <mergeCell ref="G8:G9"/>
    <mergeCell ref="H8:H9"/>
    <mergeCell ref="I8:I9"/>
    <mergeCell ref="G10:G14"/>
    <mergeCell ref="A21:A22"/>
    <mergeCell ref="C21:C22"/>
    <mergeCell ref="H21:H22"/>
    <mergeCell ref="G21:G22"/>
    <mergeCell ref="A8:A9"/>
    <mergeCell ref="B8:B9"/>
    <mergeCell ref="C8:C9"/>
    <mergeCell ref="D8:D9"/>
    <mergeCell ref="B10:B14"/>
    <mergeCell ref="A10:A14"/>
    <mergeCell ref="C10:C14"/>
    <mergeCell ref="D10:D14"/>
    <mergeCell ref="F10:F14"/>
    <mergeCell ref="E10:E14"/>
    <mergeCell ref="I21:I22"/>
    <mergeCell ref="J21:J22"/>
    <mergeCell ref="L21:L22"/>
    <mergeCell ref="M21:M22"/>
    <mergeCell ref="E21:E22"/>
  </mergeCells>
  <hyperlinks>
    <hyperlink ref="K3" r:id="rId1" xr:uid="{00000000-0004-0000-0000-000000000000}"/>
    <hyperlink ref="M4" r:id="rId2" display="SPSS file and questionnaires (zip))" xr:uid="{00000000-0004-0000-0000-000001000000}"/>
    <hyperlink ref="M3" r:id="rId3" xr:uid="{00000000-0004-0000-0000-000002000000}"/>
    <hyperlink ref="M5" r:id="rId4" xr:uid="{00000000-0004-0000-0000-000003000000}"/>
    <hyperlink ref="M10" r:id="rId5" xr:uid="{00000000-0004-0000-0000-000004000000}"/>
    <hyperlink ref="K4" r:id="rId6" xr:uid="{00000000-0004-0000-0000-000005000000}"/>
    <hyperlink ref="K14" r:id="rId7" xr:uid="{00000000-0004-0000-0000-000006000000}"/>
    <hyperlink ref="K13" r:id="rId8" xr:uid="{00000000-0004-0000-0000-000007000000}"/>
    <hyperlink ref="K12" r:id="rId9" display="https://fra.europa.eu/en/publication/2018/roma-education-to-employment" xr:uid="{00000000-0004-0000-0000-000008000000}"/>
    <hyperlink ref="K11" r:id="rId10" xr:uid="{00000000-0004-0000-0000-000009000000}"/>
    <hyperlink ref="K9" r:id="rId11" xr:uid="{00000000-0004-0000-0000-00000A000000}"/>
    <hyperlink ref="K6" r:id="rId12" xr:uid="{00000000-0004-0000-0000-00000B000000}"/>
    <hyperlink ref="K5" r:id="rId13" display="Survey on discrimination and social exclusion of Roma" xr:uid="{00000000-0004-0000-0000-00000C000000}"/>
    <hyperlink ref="K7" r:id="rId14" xr:uid="{00000000-0004-0000-0000-00000D000000}"/>
    <hyperlink ref="K8" r:id="rId15" xr:uid="{00000000-0004-0000-0000-00000E000000}"/>
    <hyperlink ref="K10" r:id="rId16" xr:uid="{00000000-0004-0000-0000-00000F000000}"/>
    <hyperlink ref="K15" r:id="rId17" xr:uid="{00000000-0004-0000-0000-000010000000}"/>
    <hyperlink ref="K16" r:id="rId18" xr:uid="{00000000-0004-0000-0000-000011000000}"/>
    <hyperlink ref="K17" r:id="rId19" xr:uid="{00000000-0004-0000-0000-000012000000}"/>
    <hyperlink ref="K18" r:id="rId20" xr:uid="{00000000-0004-0000-0000-000013000000}"/>
    <hyperlink ref="K19" r:id="rId21" xr:uid="{00000000-0004-0000-0000-000014000000}"/>
    <hyperlink ref="K20" r:id="rId22" xr:uid="{00000000-0004-0000-0000-000015000000}"/>
    <hyperlink ref="K21" r:id="rId23" xr:uid="{00000000-0004-0000-0000-000016000000}"/>
    <hyperlink ref="K22" r:id="rId24" xr:uid="{00000000-0004-0000-0000-000017000000}"/>
    <hyperlink ref="K23" r:id="rId25" xr:uid="{00000000-0004-0000-0000-000018000000}"/>
    <hyperlink ref="K24" r:id="rId26" xr:uid="{00000000-0004-0000-0000-000019000000}"/>
    <hyperlink ref="K25" r:id="rId27" xr:uid="{00000000-0004-0000-0000-00001A000000}"/>
    <hyperlink ref="K26" r:id="rId28" xr:uid="{00000000-0004-0000-0000-00001B000000}"/>
    <hyperlink ref="K27" r:id="rId29" display="Research on the social norms which prevent Roma girls from access to eduaction" xr:uid="{00000000-0004-0000-0000-00001C000000}"/>
    <hyperlink ref="K28" r:id="rId30" xr:uid="{00000000-0004-0000-0000-00001D000000}"/>
    <hyperlink ref="K29" r:id="rId31" xr:uid="{00000000-0004-0000-0000-00001E000000}"/>
    <hyperlink ref="K30" r:id="rId32" xr:uid="{00000000-0004-0000-0000-00001F000000}"/>
    <hyperlink ref="K31" r:id="rId33" xr:uid="{00000000-0004-0000-0000-000020000000}"/>
    <hyperlink ref="K32" r:id="rId34" xr:uid="{00000000-0004-0000-0000-000021000000}"/>
    <hyperlink ref="K33" r:id="rId35" xr:uid="{00000000-0004-0000-0000-000022000000}"/>
    <hyperlink ref="M9" r:id="rId36" display="SPSS file and questionnaires" xr:uid="{00000000-0004-0000-0000-000023000000}"/>
    <hyperlink ref="M8" r:id="rId37" display="SPSS file and questionnaires" xr:uid="{00000000-0004-0000-0000-000024000000}"/>
    <hyperlink ref="M6" r:id="rId38" xr:uid="{00000000-0004-0000-0000-000025000000}"/>
    <hyperlink ref="M7" r:id="rId39" xr:uid="{00000000-0004-0000-0000-000026000000}"/>
    <hyperlink ref="M20" r:id="rId40" xr:uid="{00000000-0004-0000-0000-000027000000}"/>
    <hyperlink ref="M28" r:id="rId41" xr:uid="{00000000-0004-0000-0000-000028000000}"/>
  </hyperlinks>
  <pageMargins left="0.7" right="0.7" top="0.75" bottom="0.75" header="0" footer="0"/>
  <pageSetup orientation="landscape" r:id="rId4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4"/>
  <sheetViews>
    <sheetView topLeftCell="E13" zoomScaleNormal="100" workbookViewId="0">
      <selection activeCell="H19" sqref="H19"/>
    </sheetView>
  </sheetViews>
  <sheetFormatPr baseColWidth="10" defaultColWidth="8.83203125" defaultRowHeight="15"/>
  <cols>
    <col min="1" max="1" width="22.1640625" style="344" customWidth="1"/>
    <col min="2" max="2" width="8.83203125" style="344"/>
    <col min="3" max="3" width="14.6640625" style="344" customWidth="1"/>
    <col min="4" max="4" width="28.83203125" style="344" customWidth="1"/>
    <col min="5" max="5" width="11.6640625" style="344" customWidth="1"/>
    <col min="6" max="6" width="14.33203125" style="344" customWidth="1"/>
    <col min="7" max="7" width="15.6640625" style="344" customWidth="1"/>
    <col min="8" max="8" width="37.1640625" style="344" customWidth="1"/>
    <col min="9" max="9" width="18.83203125" style="344" customWidth="1"/>
    <col min="10" max="10" width="11.6640625" style="344" customWidth="1"/>
    <col min="11" max="11" width="21.6640625" style="344" customWidth="1"/>
    <col min="12" max="12" width="26.5" style="344" customWidth="1"/>
    <col min="13" max="13" width="19.6640625" style="344" customWidth="1"/>
    <col min="14" max="16384" width="8.83203125" style="344"/>
  </cols>
  <sheetData>
    <row r="1" spans="1:13" ht="16" thickBot="1">
      <c r="A1" s="452" t="s">
        <v>1121</v>
      </c>
      <c r="B1" s="453"/>
      <c r="C1" s="453"/>
      <c r="D1" s="453"/>
      <c r="E1" s="453"/>
      <c r="F1" s="453"/>
      <c r="G1" s="453"/>
      <c r="H1" s="453"/>
      <c r="I1" s="453"/>
      <c r="J1" s="453"/>
      <c r="K1" s="453"/>
      <c r="L1" s="453"/>
      <c r="M1" s="454"/>
    </row>
    <row r="2" spans="1:13" ht="21" customHeight="1" thickBot="1">
      <c r="A2" s="345" t="s">
        <v>0</v>
      </c>
      <c r="B2" s="346" t="s">
        <v>123</v>
      </c>
      <c r="C2" s="347" t="s">
        <v>208</v>
      </c>
      <c r="D2" s="348" t="s">
        <v>155</v>
      </c>
      <c r="E2" s="349" t="s">
        <v>1</v>
      </c>
      <c r="F2" s="349" t="s">
        <v>142</v>
      </c>
      <c r="G2" s="347" t="s">
        <v>4</v>
      </c>
      <c r="H2" s="350" t="s">
        <v>2</v>
      </c>
      <c r="I2" s="351" t="s">
        <v>3</v>
      </c>
      <c r="J2" s="352" t="s">
        <v>5</v>
      </c>
      <c r="K2" s="353" t="s">
        <v>148</v>
      </c>
      <c r="L2" s="353" t="s">
        <v>278</v>
      </c>
      <c r="M2" s="354" t="s">
        <v>209</v>
      </c>
    </row>
    <row r="3" spans="1:13" ht="145" thickBot="1">
      <c r="A3" s="355" t="s">
        <v>210</v>
      </c>
      <c r="B3" s="356" t="s">
        <v>211</v>
      </c>
      <c r="C3" s="356" t="s">
        <v>212</v>
      </c>
      <c r="D3" s="357" t="s">
        <v>213</v>
      </c>
      <c r="E3" s="355" t="s">
        <v>6</v>
      </c>
      <c r="F3" s="355" t="s">
        <v>214</v>
      </c>
      <c r="G3" s="358" t="s">
        <v>215</v>
      </c>
      <c r="H3" s="355" t="s">
        <v>216</v>
      </c>
      <c r="I3" s="356" t="s">
        <v>217</v>
      </c>
      <c r="J3" s="356" t="s">
        <v>354</v>
      </c>
      <c r="K3" s="359" t="str">
        <f>HYPERLINK("https://data.europa.eu/euodp/es/data/dataset/survey-eu-lesbian-gay-bisexual-transgender/resource/45cc272f-e18a-457d-84d1-2da43f542150","EU LGBT survey - European Union lesbian, gay, bisexual and transgender survey")</f>
        <v>EU LGBT survey - European Union lesbian, gay, bisexual and transgender survey</v>
      </c>
      <c r="L3" s="357" t="s">
        <v>525</v>
      </c>
      <c r="M3" s="359" t="str">
        <f>HYPERLINK("https://fra.europa.eu/en/publications-and-resources/data-and-maps/survey-fundamental-rights-lesbian-gay-bisexual-and","Data explorer")</f>
        <v>Data explorer</v>
      </c>
    </row>
    <row r="4" spans="1:13" ht="113" thickBot="1">
      <c r="A4" s="360" t="s">
        <v>218</v>
      </c>
      <c r="B4" s="361" t="s">
        <v>219</v>
      </c>
      <c r="C4" s="361" t="s">
        <v>212</v>
      </c>
      <c r="D4" s="362" t="s">
        <v>220</v>
      </c>
      <c r="E4" s="360" t="s">
        <v>6</v>
      </c>
      <c r="F4" s="360" t="s">
        <v>221</v>
      </c>
      <c r="G4" s="363" t="s">
        <v>35</v>
      </c>
      <c r="H4" s="360" t="s">
        <v>216</v>
      </c>
      <c r="I4" s="361" t="s">
        <v>217</v>
      </c>
      <c r="J4" s="361" t="s">
        <v>354</v>
      </c>
      <c r="K4" s="364" t="str">
        <f>HYPERLINK("https://fra.europa.eu/en/project/2018/eu-lgbti-survey-ii","EU LGBTI survey II - European Union lesbian, gay, bisexual, transgender and intersex survey")</f>
        <v>EU LGBTI survey II - European Union lesbian, gay, bisexual, transgender and intersex survey</v>
      </c>
      <c r="L4" s="365" t="s">
        <v>222</v>
      </c>
      <c r="M4" s="366" t="s">
        <v>36</v>
      </c>
    </row>
    <row r="5" spans="1:13" ht="161" thickBot="1">
      <c r="A5" s="367" t="s">
        <v>223</v>
      </c>
      <c r="B5" s="356" t="s">
        <v>224</v>
      </c>
      <c r="C5" s="356" t="s">
        <v>225</v>
      </c>
      <c r="D5" s="368" t="s">
        <v>226</v>
      </c>
      <c r="E5" s="355" t="s">
        <v>227</v>
      </c>
      <c r="F5" s="355" t="s">
        <v>194</v>
      </c>
      <c r="G5" s="358" t="s">
        <v>228</v>
      </c>
      <c r="H5" s="355" t="s">
        <v>229</v>
      </c>
      <c r="I5" s="356" t="s">
        <v>230</v>
      </c>
      <c r="J5" s="356" t="s">
        <v>354</v>
      </c>
      <c r="K5" s="359" t="str">
        <f>HYPERLINK("https://ilga.org/downloads/ILGA_State_Sponsored_Homophobia_2019_light.pdf","State-Sponsored Homophobia report")</f>
        <v>State-Sponsored Homophobia report</v>
      </c>
      <c r="L5" s="357" t="s">
        <v>517</v>
      </c>
      <c r="M5" s="369" t="s">
        <v>35</v>
      </c>
    </row>
    <row r="6" spans="1:13" ht="97" thickBot="1">
      <c r="A6" s="370" t="s">
        <v>231</v>
      </c>
      <c r="B6" s="361" t="s">
        <v>232</v>
      </c>
      <c r="C6" s="361" t="s">
        <v>225</v>
      </c>
      <c r="D6" s="362" t="s">
        <v>233</v>
      </c>
      <c r="E6" s="360" t="s">
        <v>6</v>
      </c>
      <c r="F6" s="360" t="s">
        <v>234</v>
      </c>
      <c r="G6" s="363" t="s">
        <v>235</v>
      </c>
      <c r="H6" s="360" t="s">
        <v>236</v>
      </c>
      <c r="I6" s="361" t="s">
        <v>230</v>
      </c>
      <c r="J6" s="361" t="s">
        <v>354</v>
      </c>
      <c r="K6" s="364" t="str">
        <f>HYPERLINK("https://ilga.org/ilga-riwi-global-attitudes-survey","Minorities Report 2017: attitudes to sexual and gender minorities around the world")</f>
        <v>Minorities Report 2017: attitudes to sexual and gender minorities around the world</v>
      </c>
      <c r="L6" s="365" t="s">
        <v>237</v>
      </c>
      <c r="M6" s="366" t="s">
        <v>35</v>
      </c>
    </row>
    <row r="7" spans="1:13" ht="129" thickBot="1">
      <c r="A7" s="355" t="s">
        <v>238</v>
      </c>
      <c r="B7" s="356" t="s">
        <v>239</v>
      </c>
      <c r="C7" s="356" t="s">
        <v>225</v>
      </c>
      <c r="D7" s="368" t="s">
        <v>240</v>
      </c>
      <c r="E7" s="355" t="s">
        <v>6</v>
      </c>
      <c r="F7" s="355" t="s">
        <v>234</v>
      </c>
      <c r="G7" s="358" t="s">
        <v>241</v>
      </c>
      <c r="H7" s="355" t="s">
        <v>242</v>
      </c>
      <c r="I7" s="356" t="s">
        <v>243</v>
      </c>
      <c r="J7" s="356" t="s">
        <v>354</v>
      </c>
      <c r="K7" s="359" t="str">
        <f>HYPERLINK("https://ilga.org/downloads/07_THE_ILGA_RIWI_2016_GLOBAL_ATTITUDES_SURVEY_ON_LGBTI_PEOPLE.pdf","ILGA-RIWI Global Attitudes Survey on LGTBI People")</f>
        <v>ILGA-RIWI Global Attitudes Survey on LGTBI People</v>
      </c>
      <c r="L7" s="357" t="s">
        <v>244</v>
      </c>
      <c r="M7" s="369" t="s">
        <v>35</v>
      </c>
    </row>
    <row r="8" spans="1:13" ht="161" thickBot="1">
      <c r="A8" s="360" t="s">
        <v>245</v>
      </c>
      <c r="B8" s="361" t="s">
        <v>246</v>
      </c>
      <c r="C8" s="361" t="s">
        <v>247</v>
      </c>
      <c r="D8" s="362" t="s">
        <v>248</v>
      </c>
      <c r="E8" s="360" t="s">
        <v>249</v>
      </c>
      <c r="F8" s="360"/>
      <c r="G8" s="363" t="s">
        <v>250</v>
      </c>
      <c r="H8" s="360" t="s">
        <v>251</v>
      </c>
      <c r="I8" s="361" t="s">
        <v>230</v>
      </c>
      <c r="J8" s="361" t="s">
        <v>354</v>
      </c>
      <c r="K8" s="364" t="str">
        <f>HYPERLINK("https://rainbow-europe.org/","Rainbow Europe")</f>
        <v>Rainbow Europe</v>
      </c>
      <c r="L8" s="371" t="s">
        <v>252</v>
      </c>
      <c r="M8" s="372" t="s">
        <v>35</v>
      </c>
    </row>
    <row r="9" spans="1:13" ht="113" thickBot="1">
      <c r="A9" s="355" t="s">
        <v>253</v>
      </c>
      <c r="B9" s="356" t="s">
        <v>211</v>
      </c>
      <c r="C9" s="356" t="s">
        <v>518</v>
      </c>
      <c r="D9" s="368" t="s">
        <v>519</v>
      </c>
      <c r="E9" s="355" t="s">
        <v>254</v>
      </c>
      <c r="F9" s="355" t="s">
        <v>255</v>
      </c>
      <c r="G9" s="358" t="s">
        <v>256</v>
      </c>
      <c r="H9" s="355" t="s">
        <v>257</v>
      </c>
      <c r="I9" s="356" t="s">
        <v>258</v>
      </c>
      <c r="J9" s="356" t="s">
        <v>354</v>
      </c>
      <c r="K9" s="359" t="str">
        <f>HYPERLINK("https://www.pewresearch.org/global/2013/06/04/the-global-divide-on-homosexuality/","The Global Divide on Homosexuality")</f>
        <v>The Global Divide on Homosexuality</v>
      </c>
      <c r="L9" s="357" t="s">
        <v>259</v>
      </c>
      <c r="M9" s="373" t="s">
        <v>35</v>
      </c>
    </row>
    <row r="10" spans="1:13" ht="225" thickBot="1">
      <c r="A10" s="360" t="s">
        <v>260</v>
      </c>
      <c r="B10" s="361" t="s">
        <v>261</v>
      </c>
      <c r="C10" s="361" t="s">
        <v>67</v>
      </c>
      <c r="D10" s="374" t="s">
        <v>262</v>
      </c>
      <c r="E10" s="360" t="s">
        <v>263</v>
      </c>
      <c r="F10" s="360" t="s">
        <v>520</v>
      </c>
      <c r="G10" s="363" t="s">
        <v>264</v>
      </c>
      <c r="H10" s="360" t="s">
        <v>521</v>
      </c>
      <c r="I10" s="361" t="s">
        <v>230</v>
      </c>
      <c r="J10" s="361" t="s">
        <v>354</v>
      </c>
      <c r="K10" s="364" t="str">
        <f>HYPERLINK("https://rm.coe.int/discrimination-on-grounds-of-sexual-orientation-and-gender-identity-in/16809079e2","Discrimination on grounds of sexual orientation and gender identity in Europe. Background document")</f>
        <v>Discrimination on grounds of sexual orientation and gender identity in Europe. Background document</v>
      </c>
      <c r="L10" s="365" t="s">
        <v>265</v>
      </c>
      <c r="M10" s="375" t="s">
        <v>35</v>
      </c>
    </row>
    <row r="11" spans="1:13" ht="161" thickBot="1">
      <c r="A11" s="355" t="s">
        <v>266</v>
      </c>
      <c r="B11" s="356" t="s">
        <v>267</v>
      </c>
      <c r="C11" s="356" t="s">
        <v>212</v>
      </c>
      <c r="D11" s="368" t="s">
        <v>268</v>
      </c>
      <c r="E11" s="355" t="s">
        <v>269</v>
      </c>
      <c r="F11" s="355" t="s">
        <v>270</v>
      </c>
      <c r="G11" s="358" t="s">
        <v>271</v>
      </c>
      <c r="H11" s="355" t="s">
        <v>272</v>
      </c>
      <c r="I11" s="356" t="s">
        <v>230</v>
      </c>
      <c r="J11" s="356" t="s">
        <v>354</v>
      </c>
      <c r="K11" s="359" t="str">
        <f>HYPERLINK("https://fra.europa.eu/sites/default/files/fra_uploads/192-FRA_hdgso_report_Part%201_en.pdf","Homophobia and Discrimination on Grounds of Sexual Orientation in the EU Member States Part I - Legal Analysis")</f>
        <v>Homophobia and Discrimination on Grounds of Sexual Orientation in the EU Member States Part I - Legal Analysis</v>
      </c>
      <c r="L11" s="357" t="s">
        <v>273</v>
      </c>
      <c r="M11" s="359" t="str">
        <f>HYPERLINK("https://fra.europa.eu/en/publication/2010/homophobia-and-discrimination-grounds-sexual-orientation-eu-member-states-part-i","Factsheets disaggregated by subject")</f>
        <v>Factsheets disaggregated by subject</v>
      </c>
    </row>
    <row r="12" spans="1:13" ht="161" thickBot="1">
      <c r="A12" s="376" t="s">
        <v>274</v>
      </c>
      <c r="B12" s="362" t="s">
        <v>275</v>
      </c>
      <c r="C12" s="362" t="s">
        <v>212</v>
      </c>
      <c r="D12" s="377" t="s">
        <v>276</v>
      </c>
      <c r="E12" s="378" t="s">
        <v>263</v>
      </c>
      <c r="F12" s="377" t="s">
        <v>277</v>
      </c>
      <c r="G12" s="362" t="s">
        <v>271</v>
      </c>
      <c r="H12" s="362" t="s">
        <v>522</v>
      </c>
      <c r="I12" s="362" t="s">
        <v>230</v>
      </c>
      <c r="J12" s="362" t="s">
        <v>354</v>
      </c>
      <c r="K12" s="364" t="str">
        <f>HYPERLINK("https://fra.europa.eu/sites/default/files/fra_uploads/397-FRA_hdgso_report_part2_en.pdf","Homophobia and Discrimination on Grounds of Sexual Orientation and Gender Identity in the EU Member States: Part II - The Social Situation")</f>
        <v>Homophobia and Discrimination on Grounds of Sexual Orientation and Gender Identity in the EU Member States: Part II - The Social Situation</v>
      </c>
      <c r="L12" s="379" t="s">
        <v>273</v>
      </c>
      <c r="M12" s="380" t="s">
        <v>35</v>
      </c>
    </row>
    <row r="13" spans="1:13" ht="97" thickBot="1">
      <c r="A13" s="381" t="s">
        <v>363</v>
      </c>
      <c r="B13" s="382" t="s">
        <v>364</v>
      </c>
      <c r="C13" s="382" t="s">
        <v>365</v>
      </c>
      <c r="D13" s="383" t="s">
        <v>366</v>
      </c>
      <c r="E13" s="384" t="s">
        <v>6</v>
      </c>
      <c r="F13" s="381" t="s">
        <v>358</v>
      </c>
      <c r="G13" s="385" t="s">
        <v>367</v>
      </c>
      <c r="H13" s="382" t="s">
        <v>523</v>
      </c>
      <c r="I13" s="382" t="s">
        <v>368</v>
      </c>
      <c r="J13" s="382" t="s">
        <v>354</v>
      </c>
      <c r="K13" s="386" t="s">
        <v>369</v>
      </c>
      <c r="L13" s="382" t="s">
        <v>370</v>
      </c>
      <c r="M13" s="387" t="s">
        <v>35</v>
      </c>
    </row>
    <row r="14" spans="1:13" ht="81" thickBot="1">
      <c r="A14" s="388" t="s">
        <v>355</v>
      </c>
      <c r="B14" s="389" t="s">
        <v>232</v>
      </c>
      <c r="C14" s="389" t="s">
        <v>356</v>
      </c>
      <c r="D14" s="390" t="s">
        <v>357</v>
      </c>
      <c r="E14" s="389" t="s">
        <v>254</v>
      </c>
      <c r="F14" s="389" t="s">
        <v>358</v>
      </c>
      <c r="G14" s="389" t="s">
        <v>359</v>
      </c>
      <c r="H14" s="389" t="s">
        <v>360</v>
      </c>
      <c r="I14" s="389" t="s">
        <v>361</v>
      </c>
      <c r="J14" s="389" t="s">
        <v>354</v>
      </c>
      <c r="K14" s="391" t="s">
        <v>362</v>
      </c>
      <c r="L14" s="389" t="s">
        <v>524</v>
      </c>
      <c r="M14" s="392" t="s">
        <v>35</v>
      </c>
    </row>
  </sheetData>
  <mergeCells count="1">
    <mergeCell ref="A1:M1"/>
  </mergeCells>
  <hyperlinks>
    <hyperlink ref="K14" r:id="rId1" location="the-results" xr:uid="{00000000-0004-0000-0900-000000000000}"/>
    <hyperlink ref="K13" r:id="rId2" xr:uid="{00000000-0004-0000-0900-000001000000}"/>
  </hyperlinks>
  <pageMargins left="0.7" right="0.7" top="0.75" bottom="0.75" header="0.3" footer="0.3"/>
  <pageSetup paperSize="9" orientation="portrait"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73EC-21F3-5E4E-95AB-2746AA23D763}">
  <dimension ref="A1:AB987"/>
  <sheetViews>
    <sheetView workbookViewId="0">
      <selection sqref="A1:XFD2"/>
    </sheetView>
  </sheetViews>
  <sheetFormatPr baseColWidth="10" defaultColWidth="12.6640625" defaultRowHeight="15" customHeight="1"/>
  <cols>
    <col min="1" max="1" width="18.33203125" style="192" customWidth="1"/>
    <col min="2" max="2" width="10" style="192" customWidth="1"/>
    <col min="3" max="3" width="19.5" style="192" customWidth="1"/>
    <col min="4" max="4" width="25.1640625" style="192" customWidth="1"/>
    <col min="5" max="5" width="14.83203125" style="192" customWidth="1"/>
    <col min="6" max="6" width="12.33203125" style="192" customWidth="1"/>
    <col min="7" max="7" width="10.6640625" style="192" customWidth="1"/>
    <col min="8" max="8" width="23.5" style="192" customWidth="1"/>
    <col min="9" max="9" width="16.33203125" style="192" customWidth="1"/>
    <col min="10" max="10" width="11.5" style="192" customWidth="1"/>
    <col min="11" max="11" width="20.6640625" style="192" customWidth="1"/>
    <col min="12" max="12" width="25.1640625" style="192" customWidth="1"/>
    <col min="13" max="13" width="18.1640625" style="192" customWidth="1"/>
    <col min="14" max="28" width="7.6640625" style="192" customWidth="1"/>
    <col min="29" max="16384" width="12.6640625" style="192"/>
  </cols>
  <sheetData>
    <row r="1" spans="1:28" thickBot="1">
      <c r="A1" s="431" t="s">
        <v>763</v>
      </c>
      <c r="B1" s="432"/>
      <c r="C1" s="433"/>
      <c r="D1" s="433"/>
      <c r="E1" s="432"/>
      <c r="F1" s="433"/>
      <c r="G1" s="432"/>
      <c r="H1" s="433"/>
      <c r="I1" s="432"/>
      <c r="J1" s="433"/>
      <c r="K1" s="432"/>
      <c r="L1" s="433"/>
      <c r="M1" s="435"/>
    </row>
    <row r="2" spans="1:28" ht="26" customHeight="1" thickBot="1">
      <c r="A2" s="231" t="s">
        <v>0</v>
      </c>
      <c r="B2" s="232" t="s">
        <v>123</v>
      </c>
      <c r="C2" s="233" t="s">
        <v>128</v>
      </c>
      <c r="D2" s="231" t="s">
        <v>155</v>
      </c>
      <c r="E2" s="234" t="s">
        <v>1</v>
      </c>
      <c r="F2" s="231" t="s">
        <v>142</v>
      </c>
      <c r="G2" s="234" t="s">
        <v>4</v>
      </c>
      <c r="H2" s="233" t="s">
        <v>2</v>
      </c>
      <c r="I2" s="234" t="s">
        <v>3</v>
      </c>
      <c r="J2" s="233" t="s">
        <v>5</v>
      </c>
      <c r="K2" s="232" t="s">
        <v>148</v>
      </c>
      <c r="L2" s="231" t="s">
        <v>278</v>
      </c>
      <c r="M2" s="235" t="s">
        <v>129</v>
      </c>
    </row>
    <row r="3" spans="1:28" ht="161" thickBot="1">
      <c r="A3" s="196" t="s">
        <v>762</v>
      </c>
      <c r="B3" s="197" t="s">
        <v>302</v>
      </c>
      <c r="C3" s="197" t="s">
        <v>40</v>
      </c>
      <c r="D3" s="197" t="s">
        <v>761</v>
      </c>
      <c r="E3" s="196" t="s">
        <v>764</v>
      </c>
      <c r="F3" s="196" t="s">
        <v>35</v>
      </c>
      <c r="G3" s="205" t="s">
        <v>250</v>
      </c>
      <c r="H3" s="196" t="s">
        <v>760</v>
      </c>
      <c r="I3" s="197" t="s">
        <v>230</v>
      </c>
      <c r="J3" s="200" t="s">
        <v>12</v>
      </c>
      <c r="K3" s="196" t="s">
        <v>315</v>
      </c>
      <c r="L3" s="197" t="s">
        <v>759</v>
      </c>
      <c r="M3" s="291" t="s">
        <v>765</v>
      </c>
    </row>
    <row r="4" spans="1:28" ht="129" thickBot="1">
      <c r="A4" s="201" t="s">
        <v>758</v>
      </c>
      <c r="B4" s="201" t="s">
        <v>533</v>
      </c>
      <c r="C4" s="201" t="s">
        <v>757</v>
      </c>
      <c r="D4" s="201" t="s">
        <v>756</v>
      </c>
      <c r="E4" s="201" t="s">
        <v>764</v>
      </c>
      <c r="F4" s="201" t="s">
        <v>35</v>
      </c>
      <c r="G4" s="203" t="s">
        <v>250</v>
      </c>
      <c r="H4" s="201" t="s">
        <v>755</v>
      </c>
      <c r="I4" s="201" t="s">
        <v>230</v>
      </c>
      <c r="J4" s="201" t="s">
        <v>12</v>
      </c>
      <c r="K4" s="228" t="str">
        <f>HYPERLINK("https://ec.europa.eu/energy/sites/ener/files/documents/INSIGHT_E_Energy%20Poverty%20-%20Main%20Report_FINAL.pdf","Energy poverty and vulnerable consumers in the energy sector across the EU: analysis of policies and measures: Appendices to main report")</f>
        <v>Energy poverty and vulnerable consumers in the energy sector across the EU: analysis of policies and measures: Appendices to main report</v>
      </c>
      <c r="L4" s="292" t="s">
        <v>754</v>
      </c>
      <c r="M4" s="217" t="s">
        <v>35</v>
      </c>
    </row>
    <row r="5" spans="1:28" ht="193" thickBot="1">
      <c r="A5" s="196" t="s">
        <v>753</v>
      </c>
      <c r="B5" s="210" t="s">
        <v>373</v>
      </c>
      <c r="C5" s="197" t="s">
        <v>752</v>
      </c>
      <c r="D5" s="285" t="s">
        <v>751</v>
      </c>
      <c r="E5" s="200" t="s">
        <v>750</v>
      </c>
      <c r="F5" s="196" t="s">
        <v>749</v>
      </c>
      <c r="G5" s="205" t="s">
        <v>748</v>
      </c>
      <c r="H5" s="196" t="s">
        <v>747</v>
      </c>
      <c r="I5" s="197" t="s">
        <v>230</v>
      </c>
      <c r="J5" s="197" t="s">
        <v>12</v>
      </c>
      <c r="K5" s="230" t="str">
        <f>HYPERLINK("https://policy.practicalaction.org/resources/publications/item/poor-people-s-energy-outlook-2018-achieving-inclusive-energy-access-at-scale","Poor People's Energy Outlook 2018: Achieving Inclusive Energy Access At Scale")</f>
        <v>Poor People's Energy Outlook 2018: Achieving Inclusive Energy Access At Scale</v>
      </c>
      <c r="L5" s="197" t="s">
        <v>746</v>
      </c>
      <c r="M5" s="197" t="s">
        <v>35</v>
      </c>
    </row>
    <row r="6" spans="1:28" ht="145" thickBot="1">
      <c r="A6" s="201" t="s">
        <v>745</v>
      </c>
      <c r="B6" s="201" t="s">
        <v>232</v>
      </c>
      <c r="C6" s="201" t="s">
        <v>744</v>
      </c>
      <c r="D6" s="219" t="s">
        <v>766</v>
      </c>
      <c r="E6" s="201" t="s">
        <v>743</v>
      </c>
      <c r="F6" s="201" t="s">
        <v>35</v>
      </c>
      <c r="G6" s="203" t="s">
        <v>742</v>
      </c>
      <c r="H6" s="201" t="s">
        <v>741</v>
      </c>
      <c r="I6" s="201" t="s">
        <v>230</v>
      </c>
      <c r="J6" s="201" t="s">
        <v>12</v>
      </c>
      <c r="K6" s="228" t="str">
        <f>HYPERLINK("http://reach-energy.eu/hr/wp-content/uploads/sites/2/2017/06/D-1.1-REACH-Publishable-Report.pdf","Fighting energy poverty: achievements and lessons of project REACH")</f>
        <v>Fighting energy poverty: achievements and lessons of project REACH</v>
      </c>
      <c r="L6" s="201" t="s">
        <v>740</v>
      </c>
      <c r="M6" s="277" t="s">
        <v>767</v>
      </c>
    </row>
    <row r="7" spans="1:28" ht="129" thickBot="1">
      <c r="A7" s="196" t="s">
        <v>739</v>
      </c>
      <c r="B7" s="197" t="s">
        <v>302</v>
      </c>
      <c r="C7" s="197" t="s">
        <v>738</v>
      </c>
      <c r="D7" s="197" t="s">
        <v>737</v>
      </c>
      <c r="E7" s="196" t="s">
        <v>706</v>
      </c>
      <c r="F7" s="196" t="s">
        <v>35</v>
      </c>
      <c r="G7" s="205" t="s">
        <v>250</v>
      </c>
      <c r="H7" s="196" t="s">
        <v>736</v>
      </c>
      <c r="I7" s="197" t="s">
        <v>230</v>
      </c>
      <c r="J7" s="197" t="s">
        <v>12</v>
      </c>
      <c r="K7" s="230" t="str">
        <f>HYPERLINK("http://enr-network.org/wp-content/uploads/ENERGYPOVERTY-EnRPositionPaper-Energypoverty-Jan-2019.pdf","EnR Position Paper on Energy Poverty in the European Union")</f>
        <v>EnR Position Paper on Energy Poverty in the European Union</v>
      </c>
      <c r="L7" s="197" t="s">
        <v>735</v>
      </c>
      <c r="M7" s="197" t="s">
        <v>35</v>
      </c>
    </row>
    <row r="8" spans="1:28" ht="129" thickBot="1">
      <c r="A8" s="201" t="s">
        <v>734</v>
      </c>
      <c r="B8" s="201" t="s">
        <v>246</v>
      </c>
      <c r="C8" s="201" t="s">
        <v>733</v>
      </c>
      <c r="D8" s="201" t="s">
        <v>732</v>
      </c>
      <c r="E8" s="206" t="s">
        <v>768</v>
      </c>
      <c r="F8" s="201" t="s">
        <v>35</v>
      </c>
      <c r="G8" s="203" t="s">
        <v>718</v>
      </c>
      <c r="H8" s="201" t="s">
        <v>731</v>
      </c>
      <c r="I8" s="201" t="s">
        <v>230</v>
      </c>
      <c r="J8" s="209" t="s">
        <v>12</v>
      </c>
      <c r="K8" s="228" t="str">
        <f>HYPERLINK("http://www.resfoundation.org/wp-content/uploads/2018/08/Energy_Poverty_Panel_Short_Version-1.pdf","Energy poverty in the Western Balkans Sustainability Forum")</f>
        <v>Energy poverty in the Western Balkans Sustainability Forum</v>
      </c>
      <c r="L8" s="201" t="s">
        <v>730</v>
      </c>
      <c r="M8" s="201" t="s">
        <v>35</v>
      </c>
    </row>
    <row r="9" spans="1:28" ht="177" thickBot="1">
      <c r="A9" s="196" t="s">
        <v>729</v>
      </c>
      <c r="B9" s="197" t="s">
        <v>239</v>
      </c>
      <c r="C9" s="197" t="s">
        <v>728</v>
      </c>
      <c r="D9" s="196" t="s">
        <v>727</v>
      </c>
      <c r="E9" s="196" t="s">
        <v>726</v>
      </c>
      <c r="F9" s="196" t="s">
        <v>35</v>
      </c>
      <c r="G9" s="205" t="s">
        <v>725</v>
      </c>
      <c r="H9" s="196" t="s">
        <v>724</v>
      </c>
      <c r="I9" s="197" t="s">
        <v>230</v>
      </c>
      <c r="J9" s="197" t="s">
        <v>12</v>
      </c>
      <c r="K9" s="230" t="str">
        <f>HYPERLINK("http://seechangenetwork.org/wp-content/uploads/2016/10/Energy-Poverty-in-South-East-Europe_Surviving-the-Cold.pdf","Energy Poverty in South East Europe: Surviving the Cold")</f>
        <v>Energy Poverty in South East Europe: Surviving the Cold</v>
      </c>
      <c r="L9" s="293" t="s">
        <v>723</v>
      </c>
      <c r="M9" s="197" t="s">
        <v>35</v>
      </c>
    </row>
    <row r="10" spans="1:28" ht="145" thickBot="1">
      <c r="A10" s="201" t="s">
        <v>722</v>
      </c>
      <c r="B10" s="201" t="s">
        <v>232</v>
      </c>
      <c r="C10" s="201" t="s">
        <v>721</v>
      </c>
      <c r="D10" s="201" t="s">
        <v>720</v>
      </c>
      <c r="E10" s="215" t="s">
        <v>719</v>
      </c>
      <c r="F10" s="201" t="s">
        <v>35</v>
      </c>
      <c r="G10" s="203" t="s">
        <v>718</v>
      </c>
      <c r="H10" s="201" t="s">
        <v>717</v>
      </c>
      <c r="I10" s="201" t="s">
        <v>230</v>
      </c>
      <c r="J10" s="201" t="s">
        <v>12</v>
      </c>
      <c r="K10" s="228" t="str">
        <f>HYPERLINK("http://www.iene.eu/microsites/10thSEEED/articlefiles/Session-VII/Tomasovic.pdf","Energy Poverty in the Western Balkans. The balancing factor between Affordability and Environmental Sustainability")</f>
        <v>Energy Poverty in the Western Balkans. The balancing factor between Affordability and Environmental Sustainability</v>
      </c>
      <c r="L10" s="201" t="s">
        <v>769</v>
      </c>
      <c r="M10" s="201" t="s">
        <v>35</v>
      </c>
    </row>
    <row r="11" spans="1:28" ht="177" thickBot="1">
      <c r="A11" s="196" t="s">
        <v>716</v>
      </c>
      <c r="B11" s="197" t="s">
        <v>232</v>
      </c>
      <c r="C11" s="197" t="s">
        <v>715</v>
      </c>
      <c r="D11" s="196" t="s">
        <v>714</v>
      </c>
      <c r="E11" s="196" t="s">
        <v>698</v>
      </c>
      <c r="F11" s="196" t="s">
        <v>35</v>
      </c>
      <c r="G11" s="205" t="s">
        <v>713</v>
      </c>
      <c r="H11" s="196" t="s">
        <v>712</v>
      </c>
      <c r="I11" s="197" t="s">
        <v>711</v>
      </c>
      <c r="J11" s="197" t="s">
        <v>12</v>
      </c>
      <c r="K11" s="230" t="str">
        <f>HYPERLINK("https://pdfs.semanticscholar.org/cd8f/13ea8c8a8b870d913c460df5790a81745215.pdf","Energy Poverty in Southern and Eastern Europe: Peculiar Regional Issues")</f>
        <v>Energy Poverty in Southern and Eastern Europe: Peculiar Regional Issues</v>
      </c>
      <c r="L11" s="197" t="s">
        <v>710</v>
      </c>
      <c r="M11" s="237" t="s">
        <v>35</v>
      </c>
    </row>
    <row r="12" spans="1:28" s="225" customFormat="1" ht="129" thickBot="1">
      <c r="A12" s="238" t="s">
        <v>709</v>
      </c>
      <c r="B12" s="238" t="s">
        <v>302</v>
      </c>
      <c r="C12" s="238" t="s">
        <v>708</v>
      </c>
      <c r="D12" s="238" t="s">
        <v>707</v>
      </c>
      <c r="E12" s="238" t="s">
        <v>706</v>
      </c>
      <c r="F12" s="238" t="s">
        <v>35</v>
      </c>
      <c r="G12" s="273" t="s">
        <v>705</v>
      </c>
      <c r="H12" s="238" t="s">
        <v>704</v>
      </c>
      <c r="I12" s="238" t="s">
        <v>703</v>
      </c>
      <c r="J12" s="238" t="s">
        <v>12</v>
      </c>
      <c r="K12" s="278" t="str">
        <f>HYPERLINK("https://www.energypoverty.eu/sites/default/files/downloads/observatory-documents/19-06/member_state_report_-_romania.pdf","Romania Member State Report of the EU Energy Poverty Observatory (EPOV)")</f>
        <v>Romania Member State Report of the EU Energy Poverty Observatory (EPOV)</v>
      </c>
      <c r="L12" s="238" t="s">
        <v>702</v>
      </c>
      <c r="M12" s="294" t="s">
        <v>35</v>
      </c>
      <c r="N12" s="284"/>
      <c r="O12" s="284"/>
      <c r="P12" s="284"/>
      <c r="Q12" s="284"/>
      <c r="R12" s="284"/>
      <c r="S12" s="284"/>
      <c r="T12" s="284"/>
      <c r="U12" s="284"/>
      <c r="V12" s="284"/>
      <c r="W12" s="284"/>
      <c r="X12" s="284"/>
      <c r="Y12" s="284"/>
      <c r="Z12" s="284"/>
      <c r="AA12" s="284"/>
      <c r="AB12" s="284"/>
    </row>
    <row r="13" spans="1:28" ht="129" thickBot="1">
      <c r="A13" s="196" t="s">
        <v>701</v>
      </c>
      <c r="B13" s="197" t="s">
        <v>239</v>
      </c>
      <c r="C13" s="197" t="s">
        <v>700</v>
      </c>
      <c r="D13" s="196" t="s">
        <v>699</v>
      </c>
      <c r="E13" s="196" t="s">
        <v>698</v>
      </c>
      <c r="F13" s="196" t="s">
        <v>35</v>
      </c>
      <c r="G13" s="205" t="s">
        <v>470</v>
      </c>
      <c r="H13" s="196" t="s">
        <v>35</v>
      </c>
      <c r="I13" s="197" t="s">
        <v>35</v>
      </c>
      <c r="J13" s="197" t="s">
        <v>641</v>
      </c>
      <c r="K13" s="230" t="str">
        <f>HYPERLINK("https://www.sciencedirect.com/science/article/pii/S0301421516301720","Measuring energy poverty in Greece")</f>
        <v>Measuring energy poverty in Greece</v>
      </c>
      <c r="L13" s="197" t="s">
        <v>697</v>
      </c>
      <c r="M13" s="295" t="s">
        <v>35</v>
      </c>
    </row>
    <row r="14" spans="1:28" ht="16" hidden="1" thickBot="1">
      <c r="A14" s="286"/>
      <c r="B14" s="287"/>
      <c r="C14" s="287"/>
      <c r="D14" s="288"/>
      <c r="E14" s="286"/>
      <c r="F14" s="286"/>
      <c r="G14" s="289"/>
      <c r="H14" s="286"/>
      <c r="I14" s="287"/>
      <c r="J14" s="287"/>
      <c r="K14" s="286"/>
      <c r="L14" s="290"/>
      <c r="M14" s="283"/>
    </row>
    <row r="15" spans="1:28" ht="16" hidden="1" thickBot="1">
      <c r="A15" s="281"/>
      <c r="B15" s="193"/>
      <c r="C15" s="194"/>
      <c r="D15" s="194"/>
      <c r="E15" s="194"/>
      <c r="F15" s="194"/>
      <c r="G15" s="282"/>
      <c r="H15" s="194"/>
      <c r="I15" s="193"/>
      <c r="J15" s="193"/>
      <c r="K15" s="281"/>
      <c r="L15" s="280"/>
      <c r="M15" s="279"/>
    </row>
    <row r="16" spans="1:28"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sheetData>
  <mergeCells count="1">
    <mergeCell ref="A1:M1"/>
  </mergeCells>
  <hyperlinks>
    <hyperlink ref="M3" r:id="rId1" xr:uid="{8CBA03FC-D19B-304D-93E8-40FC4B6C3A8B}"/>
    <hyperlink ref="M6" r:id="rId2" xr:uid="{676A1030-4C38-854E-9B79-409211538C1C}"/>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F0DD0-4325-B94D-BE2B-42C812E0579D}">
  <dimension ref="A1:M986"/>
  <sheetViews>
    <sheetView topLeftCell="A8" workbookViewId="0">
      <selection activeCell="O13" sqref="O13"/>
    </sheetView>
  </sheetViews>
  <sheetFormatPr baseColWidth="10" defaultColWidth="12.6640625" defaultRowHeight="15" customHeight="1"/>
  <cols>
    <col min="1" max="1" width="15.33203125" style="192" customWidth="1"/>
    <col min="2" max="2" width="8.6640625" style="192" customWidth="1"/>
    <col min="3" max="3" width="18" style="192" customWidth="1"/>
    <col min="4" max="4" width="28.1640625" style="192" customWidth="1"/>
    <col min="5" max="5" width="17.1640625" style="192" customWidth="1"/>
    <col min="6" max="6" width="10.33203125" style="192" customWidth="1"/>
    <col min="7" max="7" width="10.6640625" style="192" customWidth="1"/>
    <col min="8" max="8" width="22" style="192" customWidth="1"/>
    <col min="9" max="9" width="21.1640625" style="192" customWidth="1"/>
    <col min="10" max="10" width="11.5" style="192" customWidth="1"/>
    <col min="11" max="11" width="18.1640625" style="192" customWidth="1"/>
    <col min="12" max="12" width="30" style="192" customWidth="1"/>
    <col min="13" max="13" width="21.6640625" style="192" customWidth="1"/>
    <col min="14" max="16384" width="12.6640625" style="192"/>
  </cols>
  <sheetData>
    <row r="1" spans="1:13" thickBot="1">
      <c r="A1" s="431" t="s">
        <v>828</v>
      </c>
      <c r="B1" s="432"/>
      <c r="C1" s="433"/>
      <c r="D1" s="433"/>
      <c r="E1" s="432"/>
      <c r="F1" s="433"/>
      <c r="G1" s="432"/>
      <c r="H1" s="433"/>
      <c r="I1" s="432"/>
      <c r="J1" s="433"/>
      <c r="K1" s="432"/>
      <c r="L1" s="433"/>
      <c r="M1" s="435"/>
    </row>
    <row r="2" spans="1:13" ht="26" customHeight="1" thickBot="1">
      <c r="A2" s="231" t="s">
        <v>0</v>
      </c>
      <c r="B2" s="232" t="s">
        <v>123</v>
      </c>
      <c r="C2" s="233" t="s">
        <v>128</v>
      </c>
      <c r="D2" s="231" t="s">
        <v>155</v>
      </c>
      <c r="E2" s="234" t="s">
        <v>1</v>
      </c>
      <c r="F2" s="231" t="s">
        <v>142</v>
      </c>
      <c r="G2" s="234" t="s">
        <v>4</v>
      </c>
      <c r="H2" s="233" t="s">
        <v>2</v>
      </c>
      <c r="I2" s="234" t="s">
        <v>3</v>
      </c>
      <c r="J2" s="233" t="s">
        <v>5</v>
      </c>
      <c r="K2" s="232" t="s">
        <v>148</v>
      </c>
      <c r="L2" s="231" t="s">
        <v>278</v>
      </c>
      <c r="M2" s="235" t="s">
        <v>129</v>
      </c>
    </row>
    <row r="3" spans="1:13" s="253" customFormat="1" ht="257" thickBot="1">
      <c r="A3" s="455" t="s">
        <v>827</v>
      </c>
      <c r="B3" s="455" t="s">
        <v>232</v>
      </c>
      <c r="C3" s="215" t="s">
        <v>40</v>
      </c>
      <c r="D3" s="455" t="s">
        <v>826</v>
      </c>
      <c r="E3" s="455" t="s">
        <v>825</v>
      </c>
      <c r="F3" s="455" t="s">
        <v>824</v>
      </c>
      <c r="G3" s="456" t="s">
        <v>250</v>
      </c>
      <c r="H3" s="455" t="s">
        <v>823</v>
      </c>
      <c r="I3" s="455" t="s">
        <v>822</v>
      </c>
      <c r="J3" s="455" t="s">
        <v>12</v>
      </c>
      <c r="K3" s="458" t="s">
        <v>1122</v>
      </c>
      <c r="L3" s="455" t="s">
        <v>821</v>
      </c>
      <c r="M3" s="457" t="s">
        <v>35</v>
      </c>
    </row>
    <row r="4" spans="1:13" ht="129" thickBot="1">
      <c r="A4" s="196" t="s">
        <v>820</v>
      </c>
      <c r="B4" s="197" t="s">
        <v>280</v>
      </c>
      <c r="C4" s="197" t="s">
        <v>819</v>
      </c>
      <c r="D4" s="196" t="s">
        <v>818</v>
      </c>
      <c r="E4" s="196" t="s">
        <v>779</v>
      </c>
      <c r="F4" s="196" t="s">
        <v>35</v>
      </c>
      <c r="G4" s="205" t="s">
        <v>817</v>
      </c>
      <c r="H4" s="196" t="s">
        <v>1127</v>
      </c>
      <c r="I4" s="197" t="s">
        <v>790</v>
      </c>
      <c r="J4" s="197" t="s">
        <v>12</v>
      </c>
      <c r="K4" s="230" t="str">
        <f>HYPERLINK("http://ec.europa.eu/social/BlobServlet?docId=6676&amp;langId=en","Joining up in the fight against undeclared work in Europe")</f>
        <v>Joining up in the fight against undeclared work in Europe</v>
      </c>
      <c r="L4" s="197" t="s">
        <v>816</v>
      </c>
      <c r="M4" s="237" t="s">
        <v>35</v>
      </c>
    </row>
    <row r="5" spans="1:13" s="253" customFormat="1" ht="129" thickBot="1">
      <c r="A5" s="245" t="s">
        <v>815</v>
      </c>
      <c r="B5" s="247" t="s">
        <v>302</v>
      </c>
      <c r="C5" s="247" t="s">
        <v>814</v>
      </c>
      <c r="D5" s="464" t="s">
        <v>813</v>
      </c>
      <c r="E5" s="464" t="s">
        <v>785</v>
      </c>
      <c r="F5" s="245" t="s">
        <v>35</v>
      </c>
      <c r="G5" s="250" t="s">
        <v>250</v>
      </c>
      <c r="H5" s="245" t="s">
        <v>812</v>
      </c>
      <c r="I5" s="247" t="s">
        <v>35</v>
      </c>
      <c r="J5" s="247" t="s">
        <v>12</v>
      </c>
      <c r="K5" s="260" t="str">
        <f>HYPERLINK("https://works.bepress.com/colin_williams/121/","Shadows: tackling undeclared work in the European Union")</f>
        <v>Shadows: tackling undeclared work in the European Union</v>
      </c>
      <c r="L5" s="261" t="s">
        <v>811</v>
      </c>
      <c r="M5" s="261" t="s">
        <v>35</v>
      </c>
    </row>
    <row r="6" spans="1:13" s="253" customFormat="1" ht="177" thickBot="1">
      <c r="A6" s="254" t="s">
        <v>810</v>
      </c>
      <c r="B6" s="254" t="s">
        <v>809</v>
      </c>
      <c r="C6" s="254" t="s">
        <v>281</v>
      </c>
      <c r="D6" s="254" t="s">
        <v>808</v>
      </c>
      <c r="E6" s="254" t="s">
        <v>204</v>
      </c>
      <c r="F6" s="254" t="s">
        <v>35</v>
      </c>
      <c r="G6" s="256" t="s">
        <v>807</v>
      </c>
      <c r="H6" s="254" t="s">
        <v>1126</v>
      </c>
      <c r="I6" s="254" t="s">
        <v>799</v>
      </c>
      <c r="J6" s="254" t="s">
        <v>12</v>
      </c>
      <c r="K6" s="258" t="str">
        <f>HYPERLINK("https://ec.europa.eu/commfrontoffice/publicopinion/archives/ebs/ebs_284_en.pdf","Special Eurobarometer 2007 on Undeclared Work
in the European Union ")</f>
        <v xml:space="preserve">Special Eurobarometer 2007 on Undeclared Work
in the European Union </v>
      </c>
      <c r="L6" s="266" t="s">
        <v>806</v>
      </c>
      <c r="M6" s="266" t="s">
        <v>35</v>
      </c>
    </row>
    <row r="7" spans="1:13" s="253" customFormat="1" ht="161" thickBot="1">
      <c r="A7" s="459" t="s">
        <v>805</v>
      </c>
      <c r="B7" s="247" t="s">
        <v>295</v>
      </c>
      <c r="C7" s="247" t="s">
        <v>281</v>
      </c>
      <c r="D7" s="245" t="s">
        <v>804</v>
      </c>
      <c r="E7" s="245" t="s">
        <v>204</v>
      </c>
      <c r="F7" s="245" t="s">
        <v>35</v>
      </c>
      <c r="G7" s="250" t="s">
        <v>803</v>
      </c>
      <c r="H7" s="245" t="s">
        <v>1125</v>
      </c>
      <c r="I7" s="247" t="s">
        <v>799</v>
      </c>
      <c r="J7" s="247" t="s">
        <v>12</v>
      </c>
      <c r="K7" s="460" t="str">
        <f>HYPERLINK("https://ec.europa.eu/commfrontoffice/publicopinion/archives/ebs/ebs_402_en.pdf","Special Eurobarometer 2014 on Undeclared Work
in the European Union ")</f>
        <v xml:space="preserve">Special Eurobarometer 2014 on Undeclared Work
in the European Union </v>
      </c>
      <c r="L7" s="261" t="s">
        <v>802</v>
      </c>
      <c r="M7" s="461" t="s">
        <v>35</v>
      </c>
    </row>
    <row r="8" spans="1:13" s="253" customFormat="1" ht="145" thickBot="1">
      <c r="A8" s="254" t="s">
        <v>801</v>
      </c>
      <c r="B8" s="254" t="s">
        <v>246</v>
      </c>
      <c r="C8" s="254" t="s">
        <v>774</v>
      </c>
      <c r="D8" s="254" t="s">
        <v>800</v>
      </c>
      <c r="E8" s="254" t="s">
        <v>785</v>
      </c>
      <c r="F8" s="254" t="s">
        <v>35</v>
      </c>
      <c r="G8" s="256" t="s">
        <v>250</v>
      </c>
      <c r="H8" s="254" t="s">
        <v>1124</v>
      </c>
      <c r="I8" s="254" t="s">
        <v>799</v>
      </c>
      <c r="J8" s="254" t="s">
        <v>12</v>
      </c>
      <c r="K8" s="258" t="str">
        <f>HYPERLINK("https://ec.europa.eu/social/BlobServlet?docId=20472&amp;langId=en","Key Results and Achievements of the EU Platform Tackling Undeclared Work 2017-2018")</f>
        <v>Key Results and Achievements of the EU Platform Tackling Undeclared Work 2017-2018</v>
      </c>
      <c r="L8" s="266" t="s">
        <v>1123</v>
      </c>
      <c r="M8" s="266" t="s">
        <v>35</v>
      </c>
    </row>
    <row r="9" spans="1:13" s="253" customFormat="1" ht="97" thickBot="1">
      <c r="A9" s="245" t="s">
        <v>798</v>
      </c>
      <c r="B9" s="247" t="s">
        <v>232</v>
      </c>
      <c r="C9" s="247" t="s">
        <v>774</v>
      </c>
      <c r="D9" s="245" t="s">
        <v>797</v>
      </c>
      <c r="E9" s="247" t="s">
        <v>796</v>
      </c>
      <c r="F9" s="245" t="s">
        <v>35</v>
      </c>
      <c r="G9" s="250" t="s">
        <v>250</v>
      </c>
      <c r="H9" s="245" t="s">
        <v>795</v>
      </c>
      <c r="I9" s="247" t="s">
        <v>230</v>
      </c>
      <c r="J9" s="247" t="s">
        <v>12</v>
      </c>
      <c r="K9" s="260" t="str">
        <f>HYPERLINK("https://ec.europa.eu/social/main.jsp?catId=1322&amp;langId=en","Undeclared Work in EU countries factsheets")</f>
        <v>Undeclared Work in EU countries factsheets</v>
      </c>
      <c r="L9" s="261" t="s">
        <v>794</v>
      </c>
      <c r="M9" s="261" t="s">
        <v>35</v>
      </c>
    </row>
    <row r="10" spans="1:13" s="253" customFormat="1" ht="177" thickBot="1">
      <c r="A10" s="254" t="s">
        <v>793</v>
      </c>
      <c r="B10" s="254" t="s">
        <v>211</v>
      </c>
      <c r="C10" s="254" t="s">
        <v>406</v>
      </c>
      <c r="D10" s="254" t="s">
        <v>792</v>
      </c>
      <c r="E10" s="254" t="s">
        <v>772</v>
      </c>
      <c r="F10" s="254" t="s">
        <v>35</v>
      </c>
      <c r="G10" s="256" t="s">
        <v>250</v>
      </c>
      <c r="H10" s="254" t="s">
        <v>791</v>
      </c>
      <c r="I10" s="254" t="s">
        <v>790</v>
      </c>
      <c r="J10" s="254" t="s">
        <v>12</v>
      </c>
      <c r="K10" s="258" t="str">
        <f>HYPERLINK("https://www.eurofound.europa.eu/publications/report/2013/labour-market/tackling-undeclared-work-in-27-eu-member-states-and-norway-approaches-and-measures-since-2008","Tackling undeclared work in 27 EU Member States and Norway: Approaches and measures since 2008")</f>
        <v>Tackling undeclared work in 27 EU Member States and Norway: Approaches and measures since 2008</v>
      </c>
      <c r="L10" s="266" t="s">
        <v>789</v>
      </c>
      <c r="M10" s="258" t="str">
        <f>HYPERLINK("https://www.eurofound.europa.eu/data/tackling-undeclared-work-in-europe/database","Database")</f>
        <v>Database</v>
      </c>
    </row>
    <row r="11" spans="1:13" s="253" customFormat="1" ht="145" thickBot="1">
      <c r="A11" s="269" t="s">
        <v>788</v>
      </c>
      <c r="B11" s="245" t="s">
        <v>302</v>
      </c>
      <c r="C11" s="269" t="s">
        <v>787</v>
      </c>
      <c r="D11" s="245" t="s">
        <v>786</v>
      </c>
      <c r="E11" s="245" t="s">
        <v>785</v>
      </c>
      <c r="F11" s="245" t="s">
        <v>35</v>
      </c>
      <c r="G11" s="462" t="s">
        <v>784</v>
      </c>
      <c r="H11" s="245" t="s">
        <v>783</v>
      </c>
      <c r="I11" s="245" t="s">
        <v>230</v>
      </c>
      <c r="J11" s="245" t="s">
        <v>12</v>
      </c>
      <c r="K11" s="260" t="str">
        <f>HYPERLINK("https://content.sciendo.com/downloadpdf/journals/zireb/22/1/article-p107.xml","Characteristics of Undeclared Work in Service Sector in Countries of South East Europe")</f>
        <v>Characteristics of Undeclared Work in Service Sector in Countries of South East Europe</v>
      </c>
      <c r="L11" s="463" t="s">
        <v>782</v>
      </c>
      <c r="M11" s="463" t="s">
        <v>35</v>
      </c>
    </row>
    <row r="12" spans="1:13" s="253" customFormat="1" ht="161" thickBot="1">
      <c r="A12" s="254" t="s">
        <v>781</v>
      </c>
      <c r="B12" s="254" t="s">
        <v>239</v>
      </c>
      <c r="C12" s="254" t="s">
        <v>639</v>
      </c>
      <c r="D12" s="254" t="s">
        <v>780</v>
      </c>
      <c r="E12" s="254" t="s">
        <v>779</v>
      </c>
      <c r="F12" s="254" t="s">
        <v>35</v>
      </c>
      <c r="G12" s="256" t="s">
        <v>470</v>
      </c>
      <c r="H12" s="254" t="s">
        <v>778</v>
      </c>
      <c r="I12" s="254" t="s">
        <v>777</v>
      </c>
      <c r="J12" s="254" t="s">
        <v>12</v>
      </c>
      <c r="K12" s="258" t="str">
        <f>HYPERLINK("https://www.ilo.org/wcmsp5/groups/public/---ed_emp/documents/projectdocumentation/wcms_531548.pdf","Diagnostic Report on Undeclared Work in Greece")</f>
        <v>Diagnostic Report on Undeclared Work in Greece</v>
      </c>
      <c r="L12" s="266" t="s">
        <v>776</v>
      </c>
      <c r="M12" s="266" t="s">
        <v>35</v>
      </c>
    </row>
    <row r="13" spans="1:13" ht="145" thickBot="1">
      <c r="A13" s="238" t="s">
        <v>775</v>
      </c>
      <c r="B13" s="238" t="s">
        <v>232</v>
      </c>
      <c r="C13" s="238" t="s">
        <v>774</v>
      </c>
      <c r="D13" s="238" t="s">
        <v>773</v>
      </c>
      <c r="E13" s="238" t="s">
        <v>772</v>
      </c>
      <c r="F13" s="238" t="s">
        <v>35</v>
      </c>
      <c r="G13" s="273" t="s">
        <v>250</v>
      </c>
      <c r="H13" s="238" t="s">
        <v>771</v>
      </c>
      <c r="I13" s="238" t="s">
        <v>230</v>
      </c>
      <c r="J13" s="238" t="s">
        <v>12</v>
      </c>
      <c r="K13" s="465" t="str">
        <f>HYPERLINK("https://pure.uvt.nl/ws/portalfiles/portal/16387039/Background_Paper_Construction_Seminar_3May17.pdf","Undeclared Work in the Construction Industry")</f>
        <v>Undeclared Work in the Construction Industry</v>
      </c>
      <c r="L13" s="268" t="s">
        <v>770</v>
      </c>
      <c r="M13" s="294" t="s">
        <v>35</v>
      </c>
    </row>
    <row r="14" spans="1:13" ht="15.75" customHeight="1"/>
    <row r="15" spans="1:13" ht="15.75" customHeight="1"/>
    <row r="16" spans="1:13"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sheetData>
  <mergeCells count="1">
    <mergeCell ref="A1:M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D11AC-2E7E-E847-8DDD-628B86D9FA79}">
  <dimension ref="A1:M987"/>
  <sheetViews>
    <sheetView topLeftCell="A8" workbookViewId="0">
      <selection activeCell="A3" sqref="A3"/>
    </sheetView>
  </sheetViews>
  <sheetFormatPr baseColWidth="10" defaultColWidth="12.6640625" defaultRowHeight="15" customHeight="1"/>
  <cols>
    <col min="1" max="1" width="19.5" style="192" customWidth="1"/>
    <col min="2" max="2" width="8.6640625" style="192" customWidth="1"/>
    <col min="3" max="3" width="19.5" style="192" customWidth="1"/>
    <col min="4" max="4" width="22.83203125" style="192" customWidth="1"/>
    <col min="5" max="5" width="14.83203125" style="192" customWidth="1"/>
    <col min="6" max="6" width="14.6640625" style="192" customWidth="1"/>
    <col min="7" max="7" width="17.33203125" style="192" customWidth="1"/>
    <col min="8" max="8" width="23.5" style="192" customWidth="1"/>
    <col min="9" max="9" width="17.83203125" style="192" customWidth="1"/>
    <col min="10" max="10" width="11.5" style="192" customWidth="1"/>
    <col min="11" max="11" width="20.6640625" style="192" customWidth="1"/>
    <col min="12" max="12" width="25.1640625" style="192" customWidth="1"/>
    <col min="13" max="13" width="18.1640625" style="192" customWidth="1"/>
    <col min="14" max="28" width="7.6640625" style="192" customWidth="1"/>
    <col min="29" max="16384" width="12.6640625" style="192"/>
  </cols>
  <sheetData>
    <row r="1" spans="1:13" thickBot="1">
      <c r="A1" s="431" t="s">
        <v>591</v>
      </c>
      <c r="B1" s="432"/>
      <c r="C1" s="433"/>
      <c r="D1" s="432"/>
      <c r="E1" s="433"/>
      <c r="F1" s="432"/>
      <c r="G1" s="433"/>
      <c r="H1" s="432"/>
      <c r="I1" s="433"/>
      <c r="J1" s="432"/>
      <c r="K1" s="433"/>
      <c r="L1" s="432"/>
      <c r="M1" s="434"/>
    </row>
    <row r="2" spans="1:13" ht="26" customHeight="1" thickBot="1">
      <c r="A2" s="231" t="s">
        <v>0</v>
      </c>
      <c r="B2" s="232" t="s">
        <v>123</v>
      </c>
      <c r="C2" s="233" t="s">
        <v>128</v>
      </c>
      <c r="D2" s="232" t="s">
        <v>155</v>
      </c>
      <c r="E2" s="233" t="s">
        <v>1</v>
      </c>
      <c r="F2" s="232" t="s">
        <v>142</v>
      </c>
      <c r="G2" s="233" t="s">
        <v>4</v>
      </c>
      <c r="H2" s="234" t="s">
        <v>2</v>
      </c>
      <c r="I2" s="233" t="s">
        <v>3</v>
      </c>
      <c r="J2" s="234" t="s">
        <v>5</v>
      </c>
      <c r="K2" s="231" t="s">
        <v>148</v>
      </c>
      <c r="L2" s="232" t="s">
        <v>278</v>
      </c>
      <c r="M2" s="231" t="s">
        <v>129</v>
      </c>
    </row>
    <row r="3" spans="1:13" s="225" customFormat="1" ht="273" thickBot="1">
      <c r="A3" s="222" t="s">
        <v>182</v>
      </c>
      <c r="B3" s="222" t="s">
        <v>239</v>
      </c>
      <c r="C3" s="222" t="s">
        <v>88</v>
      </c>
      <c r="D3" s="222" t="s">
        <v>550</v>
      </c>
      <c r="E3" s="222" t="s">
        <v>86</v>
      </c>
      <c r="F3" s="222" t="s">
        <v>35</v>
      </c>
      <c r="G3" s="223" t="s">
        <v>90</v>
      </c>
      <c r="H3" s="222" t="s">
        <v>87</v>
      </c>
      <c r="I3" s="222" t="s">
        <v>89</v>
      </c>
      <c r="J3" s="222" t="s">
        <v>12</v>
      </c>
      <c r="K3" s="229" t="str">
        <f>HYPERLINK("https://www.unicef.org/bulgaria/media/1891/file/Summary-of-the-report-social-norms-and-roma-girls-access-to-education.pdf","Research on the social norms which prevent Roma girls from access to eduaction")</f>
        <v>Research on the social norms which prevent Roma girls from access to eduaction</v>
      </c>
      <c r="L3" s="222" t="s">
        <v>91</v>
      </c>
      <c r="M3" s="224" t="s">
        <v>35</v>
      </c>
    </row>
    <row r="4" spans="1:13" ht="145" thickBot="1">
      <c r="A4" s="201" t="s">
        <v>590</v>
      </c>
      <c r="B4" s="206" t="s">
        <v>302</v>
      </c>
      <c r="C4" s="201" t="s">
        <v>88</v>
      </c>
      <c r="D4" s="206" t="s">
        <v>589</v>
      </c>
      <c r="E4" s="201" t="s">
        <v>592</v>
      </c>
      <c r="F4" s="206" t="s">
        <v>35</v>
      </c>
      <c r="G4" s="203" t="s">
        <v>588</v>
      </c>
      <c r="H4" s="206" t="s">
        <v>587</v>
      </c>
      <c r="I4" s="201" t="s">
        <v>554</v>
      </c>
      <c r="J4" s="206" t="s">
        <v>12</v>
      </c>
      <c r="K4" s="228" t="str">
        <f>HYPERLINK("https://www.unicef.org/media/48796/file/Humanitarian-action-overview-cover-eng.pdf","UNICEF Humanitarian Action for Children 2019 Overview")</f>
        <v>UNICEF Humanitarian Action for Children 2019 Overview</v>
      </c>
      <c r="L4" s="206" t="s">
        <v>586</v>
      </c>
      <c r="M4" s="201" t="s">
        <v>35</v>
      </c>
    </row>
    <row r="5" spans="1:13" ht="129" thickBot="1">
      <c r="A5" s="196" t="s">
        <v>585</v>
      </c>
      <c r="B5" s="197" t="s">
        <v>280</v>
      </c>
      <c r="C5" s="210" t="s">
        <v>548</v>
      </c>
      <c r="D5" s="200" t="s">
        <v>584</v>
      </c>
      <c r="E5" s="207" t="s">
        <v>583</v>
      </c>
      <c r="F5" s="196" t="s">
        <v>582</v>
      </c>
      <c r="G5" s="211" t="s">
        <v>577</v>
      </c>
      <c r="H5" s="196" t="s">
        <v>581</v>
      </c>
      <c r="I5" s="210" t="s">
        <v>230</v>
      </c>
      <c r="J5" s="197" t="s">
        <v>12</v>
      </c>
      <c r="K5" s="227" t="str">
        <f>HYPERLINK("http://www.euro.who.int/__data/assets/pdf_file/0006/112389/E93576.pdf?ua=1","Pairing Children with Health Services The results of a survey on school health services in the WHO European Region")</f>
        <v>Pairing Children with Health Services The results of a survey on school health services in the WHO European Region</v>
      </c>
      <c r="L5" s="197" t="s">
        <v>580</v>
      </c>
      <c r="M5" s="208" t="s">
        <v>35</v>
      </c>
    </row>
    <row r="6" spans="1:13" ht="145" thickBot="1">
      <c r="A6" s="201" t="s">
        <v>579</v>
      </c>
      <c r="B6" s="201" t="s">
        <v>232</v>
      </c>
      <c r="C6" s="201" t="s">
        <v>548</v>
      </c>
      <c r="D6" s="206" t="s">
        <v>578</v>
      </c>
      <c r="E6" s="201" t="s">
        <v>269</v>
      </c>
      <c r="F6" s="206" t="s">
        <v>35</v>
      </c>
      <c r="G6" s="203" t="s">
        <v>577</v>
      </c>
      <c r="H6" s="206" t="s">
        <v>576</v>
      </c>
      <c r="I6" s="201" t="s">
        <v>570</v>
      </c>
      <c r="J6" s="206" t="s">
        <v>12</v>
      </c>
      <c r="K6" s="228" t="str">
        <f>HYPERLINK("http://www.euro.who.int/__data/assets/pdf_file/0006/348009/Fact-sheet-SDG-Child-and-adolescent-health-FINAL-en.pdf?ua=1","Fact sheet on SDGs - Child and Adolescent Health ")</f>
        <v xml:space="preserve">Fact sheet on SDGs - Child and Adolescent Health </v>
      </c>
      <c r="L6" s="206" t="s">
        <v>575</v>
      </c>
      <c r="M6" s="209" t="s">
        <v>35</v>
      </c>
    </row>
    <row r="7" spans="1:13" ht="241" thickBot="1">
      <c r="A7" s="196" t="s">
        <v>574</v>
      </c>
      <c r="B7" s="197" t="s">
        <v>364</v>
      </c>
      <c r="C7" s="210" t="s">
        <v>548</v>
      </c>
      <c r="D7" s="197" t="s">
        <v>573</v>
      </c>
      <c r="E7" s="212" t="s">
        <v>269</v>
      </c>
      <c r="F7" s="196" t="s">
        <v>572</v>
      </c>
      <c r="G7" s="211" t="s">
        <v>35</v>
      </c>
      <c r="H7" s="196" t="s">
        <v>571</v>
      </c>
      <c r="I7" s="210" t="s">
        <v>570</v>
      </c>
      <c r="J7" s="197" t="s">
        <v>12</v>
      </c>
      <c r="K7" s="227" t="str">
        <f>HYPERLINK("http://www.euro.who.int/__data/assets/pdf_file/0003/163857/Social-determinants-of-health-and-well-being-among-young-people.pdf?ua=1","Social determinants of health and well-being among young people. Health behaviour in school-aged children study: International report from the 2009/2010 survey")</f>
        <v>Social determinants of health and well-being among young people. Health behaviour in school-aged children study: International report from the 2009/2010 survey</v>
      </c>
      <c r="L7" s="197" t="s">
        <v>569</v>
      </c>
      <c r="M7" s="153" t="s">
        <v>193</v>
      </c>
    </row>
    <row r="8" spans="1:13" ht="193" thickBot="1">
      <c r="A8" s="201" t="s">
        <v>568</v>
      </c>
      <c r="B8" s="206" t="s">
        <v>567</v>
      </c>
      <c r="C8" s="201" t="s">
        <v>507</v>
      </c>
      <c r="D8" s="206" t="s">
        <v>566</v>
      </c>
      <c r="E8" s="201" t="s">
        <v>565</v>
      </c>
      <c r="F8" s="206" t="s">
        <v>35</v>
      </c>
      <c r="G8" s="203" t="s">
        <v>564</v>
      </c>
      <c r="H8" s="206" t="s">
        <v>563</v>
      </c>
      <c r="I8" s="201" t="s">
        <v>562</v>
      </c>
      <c r="J8" s="206" t="s">
        <v>12</v>
      </c>
      <c r="K8" s="228" t="str">
        <f>HYPERLINK("http://documents.worldbank.org/curated/en/984941468023441692/pdf/438240NWP0Box31Empowerment01PUBLIC1.pdf","Young People in South Eastern Europe: from risk to empowerement")</f>
        <v>Young People in South Eastern Europe: from risk to empowerement</v>
      </c>
      <c r="L8" s="206" t="s">
        <v>561</v>
      </c>
      <c r="M8" s="201" t="s">
        <v>35</v>
      </c>
    </row>
    <row r="9" spans="1:13" ht="161" thickBot="1">
      <c r="A9" s="196" t="s">
        <v>560</v>
      </c>
      <c r="B9" s="197" t="s">
        <v>295</v>
      </c>
      <c r="C9" s="210" t="s">
        <v>559</v>
      </c>
      <c r="D9" s="196" t="s">
        <v>558</v>
      </c>
      <c r="E9" s="212" t="s">
        <v>557</v>
      </c>
      <c r="F9" s="196" t="s">
        <v>35</v>
      </c>
      <c r="G9" s="211" t="s">
        <v>556</v>
      </c>
      <c r="H9" s="196" t="s">
        <v>555</v>
      </c>
      <c r="I9" s="210" t="s">
        <v>554</v>
      </c>
      <c r="J9" s="197" t="s">
        <v>12</v>
      </c>
      <c r="K9" s="227" t="str">
        <f>HYPERLINK("https://ec.europa.eu/eurostat/documents/3217494/5785249/EC-01-14-484-EN.PDF/cbdf1804-a139-43a9-b8f1-ca5223eea2a1","Key Data on Early Education and Care in Europe, 2014 edition")</f>
        <v>Key Data on Early Education and Care in Europe, 2014 edition</v>
      </c>
      <c r="L9" s="213" t="s">
        <v>553</v>
      </c>
      <c r="M9" s="208" t="s">
        <v>35</v>
      </c>
    </row>
    <row r="10" spans="1:13" ht="257" thickBot="1">
      <c r="A10" s="201" t="s">
        <v>181</v>
      </c>
      <c r="B10" s="206" t="s">
        <v>364</v>
      </c>
      <c r="C10" s="201" t="s">
        <v>62</v>
      </c>
      <c r="D10" s="206" t="s">
        <v>59</v>
      </c>
      <c r="E10" s="215" t="s">
        <v>60</v>
      </c>
      <c r="F10" s="195" t="s">
        <v>180</v>
      </c>
      <c r="G10" s="203" t="s">
        <v>63</v>
      </c>
      <c r="H10" s="206" t="s">
        <v>61</v>
      </c>
      <c r="I10" s="201" t="s">
        <v>52</v>
      </c>
      <c r="J10" s="206" t="s">
        <v>12</v>
      </c>
      <c r="K10" s="228" t="str">
        <f>HYPERLINK("https://www.opensocietyfoundations.org/uploads/a18cb239-e976-43f6-bdd4-7fa753ed7345/Roma-Early-Childhood-Inclusion-Report-20120813.pdf","Roma Early Childhood Inclusion The RECI Overview Report")</f>
        <v>Roma Early Childhood Inclusion The RECI Overview Report</v>
      </c>
      <c r="L10" s="206" t="s">
        <v>64</v>
      </c>
      <c r="M10" s="214" t="s">
        <v>35</v>
      </c>
    </row>
    <row r="11" spans="1:13" ht="241" thickBot="1">
      <c r="A11" s="196" t="s">
        <v>552</v>
      </c>
      <c r="B11" s="197" t="s">
        <v>246</v>
      </c>
      <c r="C11" s="210" t="s">
        <v>67</v>
      </c>
      <c r="D11" s="196" t="s">
        <v>71</v>
      </c>
      <c r="E11" s="212" t="s">
        <v>72</v>
      </c>
      <c r="F11" s="196" t="s">
        <v>35</v>
      </c>
      <c r="G11" s="211" t="s">
        <v>74</v>
      </c>
      <c r="H11" s="196" t="s">
        <v>551</v>
      </c>
      <c r="I11" s="210" t="s">
        <v>73</v>
      </c>
      <c r="J11" s="197" t="s">
        <v>12</v>
      </c>
      <c r="K11" s="227" t="str">
        <f>HYPERLINK("https://rm.coe.int/6gr-extract-web-en/16808b6552","GRETA General report on trafficking in children")</f>
        <v>GRETA General report on trafficking in children</v>
      </c>
      <c r="L11" s="197" t="s">
        <v>75</v>
      </c>
      <c r="M11" s="216" t="s">
        <v>35</v>
      </c>
    </row>
    <row r="12" spans="1:13" ht="321" thickBot="1">
      <c r="A12" s="201" t="s">
        <v>593</v>
      </c>
      <c r="B12" s="219" t="s">
        <v>261</v>
      </c>
      <c r="C12" s="201" t="s">
        <v>594</v>
      </c>
      <c r="D12" s="219" t="s">
        <v>595</v>
      </c>
      <c r="E12" s="201" t="s">
        <v>538</v>
      </c>
      <c r="F12" s="220" t="s">
        <v>35</v>
      </c>
      <c r="G12" s="203" t="s">
        <v>537</v>
      </c>
      <c r="H12" s="220" t="s">
        <v>536</v>
      </c>
      <c r="I12" s="201" t="s">
        <v>230</v>
      </c>
      <c r="J12" s="220" t="s">
        <v>12</v>
      </c>
      <c r="K12" s="226" t="s">
        <v>593</v>
      </c>
      <c r="L12" s="219" t="s">
        <v>596</v>
      </c>
      <c r="M12" s="217" t="s">
        <v>35</v>
      </c>
    </row>
    <row r="13" spans="1:13" ht="289" thickBot="1">
      <c r="A13" s="196" t="s">
        <v>549</v>
      </c>
      <c r="B13" s="199" t="s">
        <v>295</v>
      </c>
      <c r="C13" s="197" t="s">
        <v>548</v>
      </c>
      <c r="D13" s="198" t="s">
        <v>547</v>
      </c>
      <c r="E13" s="196" t="s">
        <v>204</v>
      </c>
      <c r="F13" s="198" t="s">
        <v>546</v>
      </c>
      <c r="G13" s="205" t="s">
        <v>545</v>
      </c>
      <c r="H13" s="198" t="s">
        <v>544</v>
      </c>
      <c r="I13" s="197" t="s">
        <v>543</v>
      </c>
      <c r="J13" s="199" t="s">
        <v>12</v>
      </c>
      <c r="K13" s="230" t="str">
        <f>HYPERLINK("http://www.euro.who.int/__data/assets/pdf_file/0004/254641/Early-child-development-in-the-European-Region-needs,-trends-and-policy-development-Eng.pdf","Early Child Development in the European Region: needs, trends and policy development")</f>
        <v>Early Child Development in the European Region: needs, trends and policy development</v>
      </c>
      <c r="L13" s="199" t="s">
        <v>542</v>
      </c>
      <c r="M13" s="218" t="s">
        <v>35</v>
      </c>
    </row>
    <row r="14" spans="1:13" ht="193" thickBot="1">
      <c r="A14" s="201" t="s">
        <v>541</v>
      </c>
      <c r="B14" s="219" t="s">
        <v>261</v>
      </c>
      <c r="C14" s="201" t="s">
        <v>540</v>
      </c>
      <c r="D14" s="219" t="s">
        <v>539</v>
      </c>
      <c r="E14" s="201" t="s">
        <v>538</v>
      </c>
      <c r="F14" s="220" t="s">
        <v>35</v>
      </c>
      <c r="G14" s="203" t="s">
        <v>537</v>
      </c>
      <c r="H14" s="220" t="s">
        <v>536</v>
      </c>
      <c r="I14" s="201" t="s">
        <v>230</v>
      </c>
      <c r="J14" s="220" t="s">
        <v>12</v>
      </c>
      <c r="K14" s="228" t="str">
        <f>HYPERLINK("https://en.unesco.org/gem-report/sites/gem-report/files/191765e.pdf","Regional overview: Central and Eastern Europe and Central Asia; The Hidden crisis: armed conflict and education")</f>
        <v>Regional overview: Central and Eastern Europe and Central Asia; The Hidden crisis: armed conflict and education</v>
      </c>
      <c r="L14" s="219" t="s">
        <v>535</v>
      </c>
      <c r="M14" s="217" t="s">
        <v>35</v>
      </c>
    </row>
    <row r="15" spans="1:13" ht="97" thickBot="1">
      <c r="A15" s="204" t="s">
        <v>534</v>
      </c>
      <c r="B15" s="197" t="s">
        <v>533</v>
      </c>
      <c r="C15" s="196" t="s">
        <v>532</v>
      </c>
      <c r="D15" s="196" t="s">
        <v>531</v>
      </c>
      <c r="E15" s="196" t="s">
        <v>530</v>
      </c>
      <c r="F15" s="198" t="s">
        <v>35</v>
      </c>
      <c r="G15" s="205" t="s">
        <v>35</v>
      </c>
      <c r="H15" s="198" t="s">
        <v>529</v>
      </c>
      <c r="I15" s="197" t="s">
        <v>528</v>
      </c>
      <c r="J15" s="199" t="s">
        <v>12</v>
      </c>
      <c r="K15" s="230" t="str">
        <f>HYPERLINK("https://www.sos-childrensvillages.org/getmedia/384bc38a-62aa-4c2a-9563-a5ecc61b6a77/SOS-Child-at-risk-report-web.pdf","CHILD AT RISK The world’s most vulnerable children: who they are, where they live, and what puts them at risk")</f>
        <v>CHILD AT RISK The world’s most vulnerable children: who they are, where they live, and what puts them at risk</v>
      </c>
      <c r="L15" s="197" t="s">
        <v>527</v>
      </c>
      <c r="M15" s="221" t="s">
        <v>35</v>
      </c>
    </row>
    <row r="16" spans="1:13"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sheetData>
  <mergeCells count="1">
    <mergeCell ref="A1:M1"/>
  </mergeCells>
  <hyperlinks>
    <hyperlink ref="K12" r:id="rId1" xr:uid="{78F1F2ED-F9C0-F548-A23D-11CC99FD17A6}"/>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301B1-489D-7B41-9CEC-F531ABA1783F}">
  <dimension ref="A1:M986"/>
  <sheetViews>
    <sheetView workbookViewId="0">
      <selection sqref="A1:XFD2"/>
    </sheetView>
  </sheetViews>
  <sheetFormatPr baseColWidth="10" defaultColWidth="12.6640625" defaultRowHeight="15" customHeight="1"/>
  <cols>
    <col min="1" max="1" width="19" style="192" customWidth="1"/>
    <col min="2" max="2" width="10.1640625" style="192" customWidth="1"/>
    <col min="3" max="3" width="19.1640625" style="192" customWidth="1"/>
    <col min="4" max="4" width="28.1640625" style="192" customWidth="1"/>
    <col min="5" max="5" width="17.1640625" style="192" customWidth="1"/>
    <col min="6" max="6" width="10.33203125" style="192" customWidth="1"/>
    <col min="7" max="7" width="16.5" style="192" customWidth="1"/>
    <col min="8" max="8" width="18.1640625" style="192" customWidth="1"/>
    <col min="9" max="9" width="19.1640625" style="192" customWidth="1"/>
    <col min="10" max="10" width="11.5" style="192" customWidth="1"/>
    <col min="11" max="11" width="18.1640625" style="192" customWidth="1"/>
    <col min="12" max="12" width="25.1640625" style="192" customWidth="1"/>
    <col min="13" max="13" width="21.6640625" style="192" customWidth="1"/>
    <col min="14" max="16384" width="12.6640625" style="192"/>
  </cols>
  <sheetData>
    <row r="1" spans="1:13" thickBot="1">
      <c r="A1" s="431" t="s">
        <v>678</v>
      </c>
      <c r="B1" s="432"/>
      <c r="C1" s="433"/>
      <c r="D1" s="433"/>
      <c r="E1" s="432"/>
      <c r="F1" s="433"/>
      <c r="G1" s="432"/>
      <c r="H1" s="433"/>
      <c r="I1" s="432"/>
      <c r="J1" s="433"/>
      <c r="K1" s="432"/>
      <c r="L1" s="433"/>
      <c r="M1" s="435"/>
    </row>
    <row r="2" spans="1:13" ht="26" customHeight="1" thickBot="1">
      <c r="A2" s="231" t="s">
        <v>0</v>
      </c>
      <c r="B2" s="232" t="s">
        <v>123</v>
      </c>
      <c r="C2" s="233" t="s">
        <v>128</v>
      </c>
      <c r="D2" s="231" t="s">
        <v>155</v>
      </c>
      <c r="E2" s="234" t="s">
        <v>1</v>
      </c>
      <c r="F2" s="231" t="s">
        <v>142</v>
      </c>
      <c r="G2" s="234" t="s">
        <v>4</v>
      </c>
      <c r="H2" s="233" t="s">
        <v>2</v>
      </c>
      <c r="I2" s="234" t="s">
        <v>3</v>
      </c>
      <c r="J2" s="233" t="s">
        <v>5</v>
      </c>
      <c r="K2" s="232" t="s">
        <v>148</v>
      </c>
      <c r="L2" s="231" t="s">
        <v>278</v>
      </c>
      <c r="M2" s="235" t="s">
        <v>129</v>
      </c>
    </row>
    <row r="3" spans="1:13" ht="177" thickBot="1">
      <c r="A3" s="201" t="s">
        <v>677</v>
      </c>
      <c r="B3" s="220" t="s">
        <v>261</v>
      </c>
      <c r="C3" s="201" t="s">
        <v>676</v>
      </c>
      <c r="D3" s="195" t="s">
        <v>675</v>
      </c>
      <c r="E3" s="201" t="s">
        <v>674</v>
      </c>
      <c r="F3" s="202" t="s">
        <v>35</v>
      </c>
      <c r="G3" s="203" t="s">
        <v>315</v>
      </c>
      <c r="H3" s="202" t="s">
        <v>673</v>
      </c>
      <c r="I3" s="201" t="s">
        <v>672</v>
      </c>
      <c r="J3" s="202" t="s">
        <v>671</v>
      </c>
      <c r="K3" s="228" t="str">
        <f>HYPERLINK("https://www.who.int/disabilities/world_report/2011/en/","World Report on Disability")</f>
        <v>World Report on Disability</v>
      </c>
      <c r="L3" s="236" t="s">
        <v>670</v>
      </c>
      <c r="M3" s="277" t="s">
        <v>679</v>
      </c>
    </row>
    <row r="4" spans="1:13" ht="241" thickBot="1">
      <c r="A4" s="196" t="s">
        <v>669</v>
      </c>
      <c r="B4" s="199" t="s">
        <v>246</v>
      </c>
      <c r="C4" s="197" t="s">
        <v>668</v>
      </c>
      <c r="D4" s="198" t="s">
        <v>667</v>
      </c>
      <c r="E4" s="196" t="s">
        <v>666</v>
      </c>
      <c r="F4" s="239" t="s">
        <v>35</v>
      </c>
      <c r="G4" s="205" t="s">
        <v>665</v>
      </c>
      <c r="H4" s="239" t="s">
        <v>664</v>
      </c>
      <c r="I4" s="197" t="s">
        <v>663</v>
      </c>
      <c r="J4" s="241" t="s">
        <v>12</v>
      </c>
      <c r="K4" s="230" t="str">
        <f>HYPERLINK("https://www.un.org/development/desa/disabilities/wp-content/uploads/sites/15/2018/12/UN-Flagship-Report-Disability.pdf","UN Flagship Report on Disability and Development 2018")</f>
        <v>UN Flagship Report on Disability and Development 2018</v>
      </c>
      <c r="L4" s="242" t="s">
        <v>662</v>
      </c>
      <c r="M4" s="237" t="s">
        <v>35</v>
      </c>
    </row>
    <row r="5" spans="1:13" s="253" customFormat="1" ht="241" thickBot="1">
      <c r="A5" s="245" t="s">
        <v>661</v>
      </c>
      <c r="B5" s="246" t="s">
        <v>401</v>
      </c>
      <c r="C5" s="247" t="s">
        <v>655</v>
      </c>
      <c r="D5" s="248" t="s">
        <v>660</v>
      </c>
      <c r="E5" s="249" t="s">
        <v>653</v>
      </c>
      <c r="F5" s="245" t="s">
        <v>35</v>
      </c>
      <c r="G5" s="250" t="s">
        <v>659</v>
      </c>
      <c r="H5" s="245" t="s">
        <v>658</v>
      </c>
      <c r="I5" s="247" t="s">
        <v>650</v>
      </c>
      <c r="J5" s="247" t="s">
        <v>12</v>
      </c>
      <c r="K5" s="260" t="str">
        <f>HYPERLINK("https://www.un.org/ga/search/view_doc.asp?symbol=A/74/186","Report of the Special Rapporteur on the rights of persons with disabilities - Theme: older persons with disabilities")</f>
        <v>Report of the Special Rapporteur on the rights of persons with disabilities - Theme: older persons with disabilities</v>
      </c>
      <c r="L5" s="251" t="s">
        <v>657</v>
      </c>
      <c r="M5" s="252" t="str">
        <f>HYPERLINK("https://www.ohchr.org/EN/Issues/Disability/SRDisabilities/Pages/SupportingTheAutonomyOlderPersons.aspx","Questionnaire replies")</f>
        <v>Questionnaire replies</v>
      </c>
    </row>
    <row r="6" spans="1:13" s="259" customFormat="1" ht="177" thickBot="1">
      <c r="A6" s="254" t="s">
        <v>656</v>
      </c>
      <c r="B6" s="254" t="s">
        <v>401</v>
      </c>
      <c r="C6" s="255" t="s">
        <v>655</v>
      </c>
      <c r="D6" s="255" t="s">
        <v>654</v>
      </c>
      <c r="E6" s="255" t="s">
        <v>653</v>
      </c>
      <c r="F6" s="254" t="s">
        <v>35</v>
      </c>
      <c r="G6" s="256" t="s">
        <v>652</v>
      </c>
      <c r="H6" s="257" t="s">
        <v>651</v>
      </c>
      <c r="I6" s="255" t="s">
        <v>650</v>
      </c>
      <c r="J6" s="255" t="s">
        <v>12</v>
      </c>
      <c r="K6" s="258" t="str">
        <f>HYPERLINK("https://www.un.org/ga/search/view_doc.asp?symbol=A/HRC/40/54","Report of the Special Rapporteur on the rights of persons with disabilities - Theme: right to liberty and security")</f>
        <v>Report of the Special Rapporteur on the rights of persons with disabilities - Theme: right to liberty and security</v>
      </c>
      <c r="L6" s="255" t="s">
        <v>649</v>
      </c>
      <c r="M6" s="258" t="str">
        <f>HYPERLINK("https://www.ohchr.org/EN/Issues/Disability/SRDisabilities/Pages/LibertyAndSecurity.aspx","Questionnaire replies")</f>
        <v>Questionnaire replies</v>
      </c>
    </row>
    <row r="7" spans="1:13" s="253" customFormat="1" ht="129" thickBot="1">
      <c r="A7" s="245" t="s">
        <v>648</v>
      </c>
      <c r="B7" s="262" t="s">
        <v>239</v>
      </c>
      <c r="C7" s="247" t="s">
        <v>647</v>
      </c>
      <c r="D7" s="263" t="s">
        <v>646</v>
      </c>
      <c r="E7" s="245" t="s">
        <v>645</v>
      </c>
      <c r="F7" s="263" t="s">
        <v>35</v>
      </c>
      <c r="G7" s="250" t="s">
        <v>644</v>
      </c>
      <c r="H7" s="264" t="s">
        <v>643</v>
      </c>
      <c r="I7" s="247" t="s">
        <v>642</v>
      </c>
      <c r="J7" s="262" t="s">
        <v>641</v>
      </c>
      <c r="K7" s="260" t="str">
        <f>HYPERLINK("https://www.ilo.org/employment/areas/WCMS_234860/lang--en/index.htm","School-to-work transition survey (SWTS) micro data files")</f>
        <v>School-to-work transition survey (SWTS) micro data files</v>
      </c>
      <c r="L7" s="265" t="s">
        <v>680</v>
      </c>
      <c r="M7" s="261" t="s">
        <v>35</v>
      </c>
    </row>
    <row r="8" spans="1:13" s="259" customFormat="1" ht="177" thickBot="1">
      <c r="A8" s="255" t="s">
        <v>640</v>
      </c>
      <c r="B8" s="254" t="s">
        <v>533</v>
      </c>
      <c r="C8" s="254" t="s">
        <v>639</v>
      </c>
      <c r="D8" s="254" t="s">
        <v>638</v>
      </c>
      <c r="E8" s="254" t="s">
        <v>637</v>
      </c>
      <c r="F8" s="254" t="s">
        <v>35</v>
      </c>
      <c r="G8" s="256" t="s">
        <v>636</v>
      </c>
      <c r="H8" s="254" t="s">
        <v>635</v>
      </c>
      <c r="I8" s="254" t="s">
        <v>634</v>
      </c>
      <c r="J8" s="254" t="s">
        <v>12</v>
      </c>
      <c r="K8" s="258" t="str">
        <f>HYPERLINK("https://www.ilo.org/surveydata/files/disabilities_final.pdf","Statistics on the labour force characteristics of people with disabilities: A Compendium of national methodologies")</f>
        <v>Statistics on the labour force characteristics of people with disabilities: A Compendium of national methodologies</v>
      </c>
      <c r="L8" s="266" t="s">
        <v>633</v>
      </c>
      <c r="M8" s="267" t="s">
        <v>35</v>
      </c>
    </row>
    <row r="9" spans="1:13" s="253" customFormat="1" ht="145" thickBot="1">
      <c r="A9" s="269" t="s">
        <v>632</v>
      </c>
      <c r="B9" s="247" t="s">
        <v>246</v>
      </c>
      <c r="C9" s="247" t="s">
        <v>631</v>
      </c>
      <c r="D9" s="245" t="s">
        <v>630</v>
      </c>
      <c r="E9" s="245" t="s">
        <v>629</v>
      </c>
      <c r="F9" s="245" t="s">
        <v>35</v>
      </c>
      <c r="G9" s="250" t="s">
        <v>315</v>
      </c>
      <c r="H9" s="245" t="s">
        <v>628</v>
      </c>
      <c r="I9" s="247" t="s">
        <v>627</v>
      </c>
      <c r="J9" s="247" t="s">
        <v>12</v>
      </c>
      <c r="K9" s="260" t="str">
        <f>HYPERLINK("https://www.ilo.org/wcmsp5/groups/public/---dgreports/---inst/documents/publication/wcms_646041.pdf","Labour market inclusion of people with disabilities")</f>
        <v>Labour market inclusion of people with disabilities</v>
      </c>
      <c r="L9" s="251" t="s">
        <v>626</v>
      </c>
      <c r="M9" s="261" t="s">
        <v>35</v>
      </c>
    </row>
    <row r="10" spans="1:13" s="259" customFormat="1" ht="208" customHeight="1" thickBot="1">
      <c r="A10" s="254" t="s">
        <v>625</v>
      </c>
      <c r="B10" s="254" t="s">
        <v>232</v>
      </c>
      <c r="C10" s="254" t="s">
        <v>40</v>
      </c>
      <c r="D10" s="254" t="s">
        <v>624</v>
      </c>
      <c r="E10" s="254" t="s">
        <v>623</v>
      </c>
      <c r="F10" s="254" t="s">
        <v>35</v>
      </c>
      <c r="G10" s="256" t="s">
        <v>315</v>
      </c>
      <c r="H10" s="254" t="s">
        <v>622</v>
      </c>
      <c r="I10" s="254" t="s">
        <v>621</v>
      </c>
      <c r="J10" s="254" t="s">
        <v>12</v>
      </c>
      <c r="K10" s="258" t="str">
        <f>HYPERLINK("https://ec.europa.eu/social/BlobServlet?docId=16995&amp;langId=en","Progress Report on the implementation of the European Disability Strategy (2010 - 2020)")</f>
        <v>Progress Report on the implementation of the European Disability Strategy (2010 - 2020)</v>
      </c>
      <c r="L10" s="255" t="s">
        <v>620</v>
      </c>
      <c r="M10" s="266" t="s">
        <v>35</v>
      </c>
    </row>
    <row r="11" spans="1:13" s="253" customFormat="1" ht="161" thickBot="1">
      <c r="A11" s="269" t="s">
        <v>619</v>
      </c>
      <c r="B11" s="247" t="s">
        <v>302</v>
      </c>
      <c r="C11" s="251" t="s">
        <v>618</v>
      </c>
      <c r="D11" s="245" t="s">
        <v>617</v>
      </c>
      <c r="E11" s="245" t="s">
        <v>616</v>
      </c>
      <c r="F11" s="245" t="s">
        <v>35</v>
      </c>
      <c r="G11" s="250" t="s">
        <v>615</v>
      </c>
      <c r="H11" s="245" t="s">
        <v>614</v>
      </c>
      <c r="I11" s="247" t="s">
        <v>315</v>
      </c>
      <c r="J11" s="247" t="s">
        <v>12</v>
      </c>
      <c r="K11" s="260" t="str">
        <f>HYPERLINK("https://www.disability-europe.net/","The right to live independently and to be included in the community in the European States: ANED synthesis report")</f>
        <v>The right to live independently and to be included in the community in the European States: ANED synthesis report</v>
      </c>
      <c r="L11" s="251" t="s">
        <v>613</v>
      </c>
      <c r="M11" s="261" t="s">
        <v>35</v>
      </c>
    </row>
    <row r="12" spans="1:13" s="259" customFormat="1" ht="177" thickBot="1">
      <c r="A12" s="254" t="s">
        <v>612</v>
      </c>
      <c r="B12" s="254" t="s">
        <v>211</v>
      </c>
      <c r="C12" s="254" t="s">
        <v>296</v>
      </c>
      <c r="D12" s="254" t="s">
        <v>611</v>
      </c>
      <c r="E12" s="254" t="s">
        <v>204</v>
      </c>
      <c r="F12" s="254" t="s">
        <v>610</v>
      </c>
      <c r="G12" s="256" t="s">
        <v>609</v>
      </c>
      <c r="H12" s="254" t="s">
        <v>608</v>
      </c>
      <c r="I12" s="254" t="s">
        <v>607</v>
      </c>
      <c r="J12" s="254" t="s">
        <v>12</v>
      </c>
      <c r="K12" s="258" t="str">
        <f>HYPERLINK("https://fra.europa.eu/sites/default/files/choice_and_control_en_13.pdf","Choice and control: the right to independent living. Experiences of persons with intellectual disabilities and persons with mental health problems in nine EU Member States")</f>
        <v>Choice and control: the right to independent living. Experiences of persons with intellectual disabilities and persons with mental health problems in nine EU Member States</v>
      </c>
      <c r="L12" s="266" t="s">
        <v>606</v>
      </c>
      <c r="M12" s="271" t="s">
        <v>35</v>
      </c>
    </row>
    <row r="13" spans="1:13" ht="225" thickBot="1">
      <c r="A13" s="238" t="s">
        <v>689</v>
      </c>
      <c r="B13" s="238" t="s">
        <v>690</v>
      </c>
      <c r="C13" s="240" t="s">
        <v>681</v>
      </c>
      <c r="D13" s="268" t="s">
        <v>691</v>
      </c>
      <c r="E13" s="238" t="s">
        <v>695</v>
      </c>
      <c r="F13" s="238" t="s">
        <v>692</v>
      </c>
      <c r="G13" s="270" t="s">
        <v>693</v>
      </c>
      <c r="H13" s="238" t="s">
        <v>694</v>
      </c>
      <c r="I13" s="247" t="s">
        <v>315</v>
      </c>
      <c r="J13" s="240" t="s">
        <v>12</v>
      </c>
      <c r="K13" s="276" t="s">
        <v>689</v>
      </c>
      <c r="L13" s="243" t="s">
        <v>696</v>
      </c>
      <c r="M13" s="272" t="s">
        <v>35</v>
      </c>
    </row>
    <row r="14" spans="1:13" s="225" customFormat="1" ht="305" thickBot="1">
      <c r="A14" s="222" t="s">
        <v>682</v>
      </c>
      <c r="B14" s="222" t="s">
        <v>246</v>
      </c>
      <c r="C14" s="254" t="s">
        <v>296</v>
      </c>
      <c r="D14" s="244" t="s">
        <v>685</v>
      </c>
      <c r="E14" s="222" t="s">
        <v>688</v>
      </c>
      <c r="F14" s="222" t="s">
        <v>35</v>
      </c>
      <c r="G14" s="223" t="s">
        <v>686</v>
      </c>
      <c r="H14" s="222" t="s">
        <v>687</v>
      </c>
      <c r="I14" s="222" t="s">
        <v>684</v>
      </c>
      <c r="J14" s="222" t="s">
        <v>12</v>
      </c>
      <c r="K14" s="275" t="s">
        <v>682</v>
      </c>
      <c r="L14" s="244" t="s">
        <v>683</v>
      </c>
      <c r="M14" s="224" t="s">
        <v>35</v>
      </c>
    </row>
    <row r="15" spans="1:13" s="225" customFormat="1" ht="161" thickBot="1">
      <c r="A15" s="238" t="s">
        <v>605</v>
      </c>
      <c r="B15" s="238" t="s">
        <v>604</v>
      </c>
      <c r="C15" s="238" t="s">
        <v>88</v>
      </c>
      <c r="D15" s="268" t="s">
        <v>603</v>
      </c>
      <c r="E15" s="238" t="s">
        <v>602</v>
      </c>
      <c r="F15" s="238" t="s">
        <v>601</v>
      </c>
      <c r="G15" s="273" t="s">
        <v>600</v>
      </c>
      <c r="H15" s="238" t="s">
        <v>599</v>
      </c>
      <c r="I15" s="238" t="s">
        <v>598</v>
      </c>
      <c r="J15" s="238" t="s">
        <v>12</v>
      </c>
      <c r="K15" s="278" t="str">
        <f>HYPERLINK("https://www.unicef-irc.org/publications/pdf/ii12_dr_eng.pdf","Children and disability in transition in CEE/CIS and Baltic States")</f>
        <v>Children and disability in transition in CEE/CIS and Baltic States</v>
      </c>
      <c r="L15" s="268" t="s">
        <v>597</v>
      </c>
      <c r="M15" s="274" t="s">
        <v>35</v>
      </c>
    </row>
    <row r="16" spans="1:13"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sheetData>
  <mergeCells count="1">
    <mergeCell ref="A1:M1"/>
  </mergeCells>
  <hyperlinks>
    <hyperlink ref="M3" r:id="rId1" xr:uid="{8A92FB80-1360-E841-B1B1-3E16F3662DF5}"/>
    <hyperlink ref="K14" r:id="rId2" xr:uid="{359FBD8E-4D56-724A-B989-BD9A1D9D3BA4}"/>
    <hyperlink ref="K13" r:id="rId3" xr:uid="{E63EF07D-B93B-FE4A-9858-4E4443610DB8}"/>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58B7B-AC51-D649-B2BC-4D0BFDBFDB59}">
  <dimension ref="A1:M11"/>
  <sheetViews>
    <sheetView zoomScaleNormal="100" workbookViewId="0">
      <selection activeCell="M2" sqref="M2"/>
    </sheetView>
  </sheetViews>
  <sheetFormatPr baseColWidth="10" defaultColWidth="8.83203125" defaultRowHeight="15"/>
  <cols>
    <col min="1" max="1" width="24.1640625" style="307" customWidth="1"/>
    <col min="2" max="2" width="9.1640625" style="307" customWidth="1"/>
    <col min="3" max="3" width="14.5" style="307" customWidth="1"/>
    <col min="4" max="4" width="28.83203125" style="307" customWidth="1"/>
    <col min="5" max="5" width="28.1640625" style="307" customWidth="1"/>
    <col min="6" max="6" width="13" style="307" customWidth="1"/>
    <col min="7" max="7" width="12" style="307" customWidth="1"/>
    <col min="8" max="8" width="27.33203125" style="307" customWidth="1"/>
    <col min="9" max="9" width="19" style="307" customWidth="1"/>
    <col min="10" max="10" width="12.33203125" style="307" customWidth="1"/>
    <col min="11" max="11" width="21.1640625" style="307" customWidth="1"/>
    <col min="12" max="12" width="21" style="307" customWidth="1"/>
    <col min="13" max="13" width="15.83203125" style="307" customWidth="1"/>
    <col min="14" max="16384" width="8.83203125" style="307"/>
  </cols>
  <sheetData>
    <row r="1" spans="1:13" ht="16" thickBot="1">
      <c r="A1" s="436" t="s">
        <v>893</v>
      </c>
      <c r="B1" s="437"/>
      <c r="C1" s="437"/>
      <c r="D1" s="437"/>
      <c r="E1" s="437"/>
      <c r="F1" s="437"/>
      <c r="G1" s="437"/>
      <c r="H1" s="437"/>
      <c r="I1" s="437"/>
      <c r="J1" s="437"/>
      <c r="K1" s="437"/>
      <c r="L1" s="437"/>
      <c r="M1" s="438"/>
    </row>
    <row r="2" spans="1:13" ht="19.5" customHeight="1" thickBot="1">
      <c r="A2" s="308" t="s">
        <v>0</v>
      </c>
      <c r="B2" s="309" t="s">
        <v>123</v>
      </c>
      <c r="C2" s="310" t="s">
        <v>208</v>
      </c>
      <c r="D2" s="311" t="s">
        <v>155</v>
      </c>
      <c r="E2" s="312" t="s">
        <v>1</v>
      </c>
      <c r="F2" s="312" t="s">
        <v>142</v>
      </c>
      <c r="G2" s="310" t="s">
        <v>4</v>
      </c>
      <c r="H2" s="313" t="s">
        <v>2</v>
      </c>
      <c r="I2" s="310" t="s">
        <v>3</v>
      </c>
      <c r="J2" s="314" t="s">
        <v>5</v>
      </c>
      <c r="K2" s="315" t="s">
        <v>148</v>
      </c>
      <c r="L2" s="315" t="s">
        <v>278</v>
      </c>
      <c r="M2" s="316" t="s">
        <v>209</v>
      </c>
    </row>
    <row r="3" spans="1:13" ht="158.25" customHeight="1" thickBot="1">
      <c r="A3" s="317" t="s">
        <v>892</v>
      </c>
      <c r="B3" s="317" t="s">
        <v>246</v>
      </c>
      <c r="C3" s="317" t="s">
        <v>891</v>
      </c>
      <c r="D3" s="317" t="s">
        <v>890</v>
      </c>
      <c r="E3" s="317" t="s">
        <v>889</v>
      </c>
      <c r="F3" s="317" t="s">
        <v>35</v>
      </c>
      <c r="G3" s="317" t="s">
        <v>888</v>
      </c>
      <c r="H3" s="317" t="s">
        <v>887</v>
      </c>
      <c r="I3" s="317" t="s">
        <v>869</v>
      </c>
      <c r="J3" s="317" t="s">
        <v>354</v>
      </c>
      <c r="K3" s="318" t="str">
        <f>HYPERLINK("https://data.oecd.org/youthinac/youth-not-in-employment-education-or-training-neet.htm","Youth not in employment, education or training (NEET)")</f>
        <v>Youth not in employment, education or training (NEET)</v>
      </c>
      <c r="L3" s="317" t="s">
        <v>886</v>
      </c>
      <c r="M3" s="317" t="s">
        <v>35</v>
      </c>
    </row>
    <row r="4" spans="1:13" ht="81" thickBot="1">
      <c r="A4" s="319" t="s">
        <v>885</v>
      </c>
      <c r="B4" s="319" t="s">
        <v>302</v>
      </c>
      <c r="C4" s="319" t="s">
        <v>393</v>
      </c>
      <c r="D4" s="319" t="s">
        <v>884</v>
      </c>
      <c r="E4" s="319" t="s">
        <v>883</v>
      </c>
      <c r="F4" s="319" t="s">
        <v>35</v>
      </c>
      <c r="G4" s="319" t="s">
        <v>250</v>
      </c>
      <c r="H4" s="319" t="s">
        <v>882</v>
      </c>
      <c r="I4" s="319" t="s">
        <v>570</v>
      </c>
      <c r="J4" s="319" t="s">
        <v>354</v>
      </c>
      <c r="K4" s="320" t="str">
        <f>HYPERLINK("https://ec.europa.eu/eurostat/statistics-explained/index.php/Statistics_on_young_people_neither_in_employment_nor_in_education_or_training","Statistics on young people neither in employment nor in education or training")</f>
        <v>Statistics on young people neither in employment nor in education or training</v>
      </c>
      <c r="L4" s="319" t="s">
        <v>881</v>
      </c>
      <c r="M4" s="320" t="str">
        <f>HYPERLINK("https://ec.europa.eu/eurostat/web/education-and-training/data/database","Database")</f>
        <v>Database</v>
      </c>
    </row>
    <row r="5" spans="1:13" ht="145" thickBot="1">
      <c r="A5" s="317" t="s">
        <v>880</v>
      </c>
      <c r="B5" s="317" t="s">
        <v>239</v>
      </c>
      <c r="C5" s="317" t="s">
        <v>406</v>
      </c>
      <c r="D5" s="317" t="s">
        <v>879</v>
      </c>
      <c r="E5" s="317" t="s">
        <v>878</v>
      </c>
      <c r="F5" s="317" t="s">
        <v>35</v>
      </c>
      <c r="G5" s="317" t="s">
        <v>250</v>
      </c>
      <c r="H5" s="317" t="s">
        <v>35</v>
      </c>
      <c r="I5" s="317" t="s">
        <v>877</v>
      </c>
      <c r="J5" s="317" t="s">
        <v>354</v>
      </c>
      <c r="K5" s="318" t="str">
        <f>HYPERLINK("https://www.eurofound.europa.eu/sites/default/files/ef_publication/field_ef_document/ef1602en.pdf","Exploring the diversity of NEETs")</f>
        <v>Exploring the diversity of NEETs</v>
      </c>
      <c r="L5" s="317" t="s">
        <v>876</v>
      </c>
      <c r="M5" s="317" t="s">
        <v>35</v>
      </c>
    </row>
    <row r="6" spans="1:13" ht="113" thickBot="1">
      <c r="A6" s="319" t="s">
        <v>875</v>
      </c>
      <c r="B6" s="319" t="s">
        <v>246</v>
      </c>
      <c r="C6" s="319" t="s">
        <v>874</v>
      </c>
      <c r="D6" s="319" t="s">
        <v>873</v>
      </c>
      <c r="E6" s="319" t="s">
        <v>872</v>
      </c>
      <c r="F6" s="319" t="s">
        <v>194</v>
      </c>
      <c r="G6" s="319" t="s">
        <v>871</v>
      </c>
      <c r="H6" s="319" t="s">
        <v>870</v>
      </c>
      <c r="I6" s="319" t="s">
        <v>869</v>
      </c>
      <c r="J6" s="319" t="s">
        <v>354</v>
      </c>
      <c r="K6" s="320" t="s">
        <v>868</v>
      </c>
      <c r="L6" s="319" t="s">
        <v>867</v>
      </c>
      <c r="M6" s="319" t="s">
        <v>35</v>
      </c>
    </row>
    <row r="7" spans="1:13" ht="177" thickBot="1">
      <c r="A7" s="321" t="s">
        <v>866</v>
      </c>
      <c r="B7" s="321" t="s">
        <v>533</v>
      </c>
      <c r="C7" s="321" t="s">
        <v>865</v>
      </c>
      <c r="D7" s="321" t="s">
        <v>864</v>
      </c>
      <c r="E7" s="321" t="s">
        <v>863</v>
      </c>
      <c r="F7" s="321" t="s">
        <v>862</v>
      </c>
      <c r="G7" s="321" t="s">
        <v>861</v>
      </c>
      <c r="H7" s="321" t="s">
        <v>860</v>
      </c>
      <c r="I7" s="321" t="s">
        <v>859</v>
      </c>
      <c r="J7" s="321" t="s">
        <v>354</v>
      </c>
      <c r="K7" s="275" t="s">
        <v>858</v>
      </c>
      <c r="L7" s="321" t="s">
        <v>857</v>
      </c>
      <c r="M7" s="321" t="s">
        <v>35</v>
      </c>
    </row>
    <row r="8" spans="1:13" ht="161" thickBot="1">
      <c r="A8" s="319" t="s">
        <v>856</v>
      </c>
      <c r="B8" s="319" t="s">
        <v>302</v>
      </c>
      <c r="C8" s="319" t="s">
        <v>855</v>
      </c>
      <c r="D8" s="319" t="s">
        <v>854</v>
      </c>
      <c r="E8" s="319" t="s">
        <v>853</v>
      </c>
      <c r="F8" s="319" t="s">
        <v>852</v>
      </c>
      <c r="G8" s="319" t="s">
        <v>35</v>
      </c>
      <c r="H8" s="319" t="s">
        <v>851</v>
      </c>
      <c r="I8" s="319" t="s">
        <v>850</v>
      </c>
      <c r="J8" s="319" t="s">
        <v>354</v>
      </c>
      <c r="K8" s="320" t="str">
        <f>HYPERLINK("http://documents.worldbank.org/curated/en/351461552915471917/pdf/135370-Western-Balkans-Labor-Market-Trends-2019.pdf","Western Balkans Labor Market Trends 2019")</f>
        <v>Western Balkans Labor Market Trends 2019</v>
      </c>
      <c r="L8" s="319" t="s">
        <v>849</v>
      </c>
      <c r="M8" s="319" t="s">
        <v>35</v>
      </c>
    </row>
    <row r="9" spans="1:13" ht="161" thickBot="1">
      <c r="A9" s="317" t="s">
        <v>848</v>
      </c>
      <c r="B9" s="317">
        <v>2019</v>
      </c>
      <c r="C9" s="317" t="s">
        <v>393</v>
      </c>
      <c r="D9" s="317" t="s">
        <v>847</v>
      </c>
      <c r="E9" s="317" t="s">
        <v>254</v>
      </c>
      <c r="F9" s="317" t="s">
        <v>35</v>
      </c>
      <c r="G9" s="317" t="s">
        <v>250</v>
      </c>
      <c r="H9" s="317" t="s">
        <v>846</v>
      </c>
      <c r="I9" s="317" t="s">
        <v>845</v>
      </c>
      <c r="J9" s="317" t="s">
        <v>354</v>
      </c>
      <c r="K9" s="318" t="str">
        <f>HYPERLINK("https://ec.europa.eu/eurostat/statistics-explained/index.php/Early_leavers_from_education_and_training","Early leavers from education and training")</f>
        <v>Early leavers from education and training</v>
      </c>
      <c r="L9" s="317" t="s">
        <v>844</v>
      </c>
      <c r="M9" s="318" t="str">
        <f>HYPERLINK("https://ec.europa.eu/eurostat/web/education-and-training/data/database","Database")</f>
        <v>Database</v>
      </c>
    </row>
    <row r="10" spans="1:13" ht="145" thickBot="1">
      <c r="A10" s="319" t="s">
        <v>843</v>
      </c>
      <c r="B10" s="319" t="s">
        <v>246</v>
      </c>
      <c r="C10" s="319" t="s">
        <v>393</v>
      </c>
      <c r="D10" s="319" t="s">
        <v>842</v>
      </c>
      <c r="E10" s="319" t="s">
        <v>254</v>
      </c>
      <c r="F10" s="319" t="s">
        <v>35</v>
      </c>
      <c r="G10" s="319" t="s">
        <v>841</v>
      </c>
      <c r="H10" s="319" t="s">
        <v>840</v>
      </c>
      <c r="I10" s="319" t="s">
        <v>839</v>
      </c>
      <c r="J10" s="319" t="s">
        <v>354</v>
      </c>
      <c r="K10" s="320" t="str">
        <f>HYPERLINK("https://ec.europa.eu/eurostat/statistics-explained/index.php/Young_people_-_social_inclusion","Young people - Social Inclusion")</f>
        <v>Young people - Social Inclusion</v>
      </c>
      <c r="L10" s="319" t="s">
        <v>838</v>
      </c>
      <c r="M10" s="320" t="str">
        <f>HYPERLINK("https://ec.europa.eu/eurostat/statistics-explained/images/a/af/Social_inclusion_YP2018.xlsx","Data: tables and figures")</f>
        <v>Data: tables and figures</v>
      </c>
    </row>
    <row r="11" spans="1:13" ht="161" thickBot="1">
      <c r="A11" s="317" t="s">
        <v>837</v>
      </c>
      <c r="B11" s="317" t="s">
        <v>295</v>
      </c>
      <c r="C11" s="317" t="s">
        <v>836</v>
      </c>
      <c r="D11" s="317" t="s">
        <v>835</v>
      </c>
      <c r="E11" s="317" t="s">
        <v>834</v>
      </c>
      <c r="F11" s="317" t="s">
        <v>833</v>
      </c>
      <c r="G11" s="317" t="s">
        <v>832</v>
      </c>
      <c r="H11" s="317" t="s">
        <v>831</v>
      </c>
      <c r="I11" s="317" t="s">
        <v>830</v>
      </c>
      <c r="J11" s="317" t="s">
        <v>354</v>
      </c>
      <c r="K11" s="318" t="str">
        <f>HYPERLINK("https://library.fes.de/pdf-files/bueros/bukarest/12141.pdf","Romanian Youth. Worries, aspirations, values and lifestyle")</f>
        <v>Romanian Youth. Worries, aspirations, values and lifestyle</v>
      </c>
      <c r="L11" s="317" t="s">
        <v>829</v>
      </c>
      <c r="M11" s="317" t="s">
        <v>35</v>
      </c>
    </row>
  </sheetData>
  <mergeCells count="1">
    <mergeCell ref="A1:M1"/>
  </mergeCells>
  <hyperlinks>
    <hyperlink ref="K6" r:id="rId1" xr:uid="{00000000-0004-0000-0300-000000000000}"/>
    <hyperlink ref="K7" r:id="rId2" xr:uid="{00000000-0004-0000-0300-000001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87394-3CD0-3E41-8271-54E7B6516EC1}">
  <dimension ref="A1:M11"/>
  <sheetViews>
    <sheetView zoomScaleNormal="100" workbookViewId="0">
      <selection activeCell="D3" sqref="D3"/>
    </sheetView>
  </sheetViews>
  <sheetFormatPr baseColWidth="10" defaultColWidth="8.83203125" defaultRowHeight="14"/>
  <cols>
    <col min="1" max="1" width="23.83203125" style="296" customWidth="1"/>
    <col min="2" max="2" width="8.83203125" style="296"/>
    <col min="3" max="3" width="14.1640625" style="296" customWidth="1"/>
    <col min="4" max="4" width="28.83203125" style="296" customWidth="1"/>
    <col min="5" max="5" width="26.6640625" style="296" customWidth="1"/>
    <col min="6" max="6" width="14" style="296" customWidth="1"/>
    <col min="7" max="7" width="13.6640625" style="296" customWidth="1"/>
    <col min="8" max="9" width="21.33203125" style="296" customWidth="1"/>
    <col min="10" max="10" width="13.5" style="296" customWidth="1"/>
    <col min="11" max="11" width="20.6640625" style="296" customWidth="1"/>
    <col min="12" max="12" width="20.1640625" style="296" customWidth="1"/>
    <col min="13" max="13" width="15.6640625" style="296" customWidth="1"/>
    <col min="14" max="16384" width="8.83203125" style="296"/>
  </cols>
  <sheetData>
    <row r="1" spans="1:13" ht="16" thickBot="1">
      <c r="A1" s="439" t="s">
        <v>966</v>
      </c>
      <c r="B1" s="440"/>
      <c r="C1" s="440"/>
      <c r="D1" s="440"/>
      <c r="E1" s="440"/>
      <c r="F1" s="440"/>
      <c r="G1" s="440"/>
      <c r="H1" s="440"/>
      <c r="I1" s="440"/>
      <c r="J1" s="440"/>
      <c r="K1" s="440"/>
      <c r="L1" s="440"/>
      <c r="M1" s="441"/>
    </row>
    <row r="2" spans="1:13" ht="18" customHeight="1" thickBot="1">
      <c r="A2" s="306" t="s">
        <v>0</v>
      </c>
      <c r="B2" s="324" t="s">
        <v>123</v>
      </c>
      <c r="C2" s="302" t="s">
        <v>208</v>
      </c>
      <c r="D2" s="323" t="s">
        <v>155</v>
      </c>
      <c r="E2" s="304" t="s">
        <v>1</v>
      </c>
      <c r="F2" s="304" t="s">
        <v>142</v>
      </c>
      <c r="G2" s="302" t="s">
        <v>4</v>
      </c>
      <c r="H2" s="303" t="s">
        <v>2</v>
      </c>
      <c r="I2" s="302" t="s">
        <v>3</v>
      </c>
      <c r="J2" s="301" t="s">
        <v>5</v>
      </c>
      <c r="K2" s="300" t="s">
        <v>148</v>
      </c>
      <c r="L2" s="300" t="s">
        <v>278</v>
      </c>
      <c r="M2" s="299" t="s">
        <v>209</v>
      </c>
    </row>
    <row r="3" spans="1:13" ht="257" thickBot="1">
      <c r="A3" s="298" t="s">
        <v>965</v>
      </c>
      <c r="B3" s="298" t="s">
        <v>246</v>
      </c>
      <c r="C3" s="298" t="s">
        <v>964</v>
      </c>
      <c r="D3" s="298" t="s">
        <v>963</v>
      </c>
      <c r="E3" s="298" t="s">
        <v>6</v>
      </c>
      <c r="F3" s="298" t="s">
        <v>234</v>
      </c>
      <c r="G3" s="298" t="s">
        <v>962</v>
      </c>
      <c r="H3" s="298" t="s">
        <v>961</v>
      </c>
      <c r="I3" s="298" t="s">
        <v>960</v>
      </c>
      <c r="J3" s="298" t="s">
        <v>354</v>
      </c>
      <c r="K3" s="322" t="str">
        <f>HYPERLINK("https://www.fondation-korian.com/sites/fondation/files/documents/Sanchez_Aging_in_Europe_a_cluster_analysis_2018%20%28003%29.pdf","Aging in Europe: a cluster analysis of the elderly in 4 European countries according to their views on successful aging")</f>
        <v>Aging in Europe: a cluster analysis of the elderly in 4 European countries according to their views on successful aging</v>
      </c>
      <c r="L3" s="298" t="s">
        <v>959</v>
      </c>
      <c r="M3" s="298" t="s">
        <v>35</v>
      </c>
    </row>
    <row r="4" spans="1:13" ht="180.75" customHeight="1" thickBot="1">
      <c r="A4" s="297" t="s">
        <v>958</v>
      </c>
      <c r="B4" s="297" t="s">
        <v>302</v>
      </c>
      <c r="C4" s="297" t="s">
        <v>957</v>
      </c>
      <c r="D4" s="297" t="s">
        <v>956</v>
      </c>
      <c r="E4" s="297" t="s">
        <v>254</v>
      </c>
      <c r="F4" s="297" t="s">
        <v>955</v>
      </c>
      <c r="G4" s="297" t="s">
        <v>954</v>
      </c>
      <c r="H4" s="297" t="s">
        <v>953</v>
      </c>
      <c r="I4" s="297" t="s">
        <v>850</v>
      </c>
      <c r="J4" s="297" t="s">
        <v>952</v>
      </c>
      <c r="K4" s="91" t="str">
        <f>HYPERLINK("https://www.degruyter.com/viewbooktoc/product/509241","Survey of Health, Ageing and Retirement in Europe")</f>
        <v>Survey of Health, Ageing and Retirement in Europe</v>
      </c>
      <c r="L4" s="297" t="s">
        <v>951</v>
      </c>
      <c r="M4" s="91" t="str">
        <f>HYPERLINK("http://www.share-project.org/data-access.html","Database")</f>
        <v>Database</v>
      </c>
    </row>
    <row r="5" spans="1:13" ht="209" thickBot="1">
      <c r="A5" s="298" t="s">
        <v>950</v>
      </c>
      <c r="B5" s="298" t="s">
        <v>364</v>
      </c>
      <c r="C5" s="298" t="s">
        <v>281</v>
      </c>
      <c r="D5" s="298" t="s">
        <v>949</v>
      </c>
      <c r="E5" s="298" t="s">
        <v>254</v>
      </c>
      <c r="F5" s="298" t="s">
        <v>948</v>
      </c>
      <c r="G5" s="298" t="s">
        <v>947</v>
      </c>
      <c r="H5" s="298" t="s">
        <v>946</v>
      </c>
      <c r="I5" s="298" t="s">
        <v>850</v>
      </c>
      <c r="J5" s="298" t="s">
        <v>354</v>
      </c>
      <c r="K5" s="322" t="str">
        <f>HYPERLINK("https://ec.europa.eu/commfrontoffice/publicopinion/archives/ebs/ebs_378_en.pdf","Active Ageing in Europe")</f>
        <v>Active Ageing in Europe</v>
      </c>
      <c r="L5" s="298" t="s">
        <v>945</v>
      </c>
      <c r="M5" s="322" t="s">
        <v>944</v>
      </c>
    </row>
    <row r="6" spans="1:13" ht="145" thickBot="1">
      <c r="A6" s="297" t="s">
        <v>943</v>
      </c>
      <c r="B6" s="297" t="s">
        <v>246</v>
      </c>
      <c r="C6" s="297" t="s">
        <v>393</v>
      </c>
      <c r="D6" s="297" t="s">
        <v>942</v>
      </c>
      <c r="E6" s="297" t="s">
        <v>254</v>
      </c>
      <c r="F6" s="297" t="s">
        <v>35</v>
      </c>
      <c r="G6" s="297" t="s">
        <v>35</v>
      </c>
      <c r="H6" s="297" t="s">
        <v>941</v>
      </c>
      <c r="I6" s="297" t="s">
        <v>940</v>
      </c>
      <c r="J6" s="297" t="s">
        <v>354</v>
      </c>
      <c r="K6" s="91" t="str">
        <f>HYPERLINK("https://ec.europa.eu/eurostat/web/products-datasets/product?code=tespn060","Median relative income of elderly people (60+) - EU-SILC survey")</f>
        <v>Median relative income of elderly people (60+) - EU-SILC survey</v>
      </c>
      <c r="L6" s="297" t="s">
        <v>939</v>
      </c>
      <c r="M6" s="91" t="str">
        <f>HYPERLINK("https://ec.europa.eu/eurostat/databrowser/view/tespn060/default/table?lang=en","Data set")</f>
        <v>Data set</v>
      </c>
    </row>
    <row r="7" spans="1:13" ht="225" thickBot="1">
      <c r="A7" s="298" t="s">
        <v>938</v>
      </c>
      <c r="B7" s="298">
        <v>2011</v>
      </c>
      <c r="C7" s="298" t="s">
        <v>548</v>
      </c>
      <c r="D7" s="298" t="s">
        <v>937</v>
      </c>
      <c r="E7" s="298" t="s">
        <v>936</v>
      </c>
      <c r="F7" s="298" t="s">
        <v>935</v>
      </c>
      <c r="G7" s="298" t="s">
        <v>934</v>
      </c>
      <c r="H7" s="298" t="s">
        <v>933</v>
      </c>
      <c r="I7" s="298" t="s">
        <v>932</v>
      </c>
      <c r="J7" s="298" t="s">
        <v>354</v>
      </c>
      <c r="K7" s="322" t="str">
        <f>HYPERLINK("http://www.euro.who.int/__data/assets/pdf_file/0010/144676/e95110.pdf","European report on preventing elder maltreatment")</f>
        <v>European report on preventing elder maltreatment</v>
      </c>
      <c r="L7" s="298" t="s">
        <v>931</v>
      </c>
      <c r="M7" s="298" t="s">
        <v>35</v>
      </c>
    </row>
    <row r="8" spans="1:13" ht="129" thickBot="1">
      <c r="A8" s="297" t="s">
        <v>930</v>
      </c>
      <c r="B8" s="297">
        <v>2017</v>
      </c>
      <c r="C8" s="297" t="s">
        <v>929</v>
      </c>
      <c r="D8" s="297" t="s">
        <v>928</v>
      </c>
      <c r="E8" s="297" t="s">
        <v>927</v>
      </c>
      <c r="F8" s="297" t="s">
        <v>35</v>
      </c>
      <c r="G8" s="297" t="s">
        <v>926</v>
      </c>
      <c r="H8" s="297" t="s">
        <v>925</v>
      </c>
      <c r="I8" s="297" t="s">
        <v>850</v>
      </c>
      <c r="J8" s="297" t="s">
        <v>354</v>
      </c>
      <c r="K8" s="91" t="str">
        <f>HYPERLINK("http://futureofthewelfarestate.org/wp-content/uploads/2018/04/The_Welfare_State_in_Western_Balkan_Countries_Position_Paper.pdf","The Welfare State in Western Balkan Countries: Challenges and Options")</f>
        <v>The Welfare State in Western Balkan Countries: Challenges and Options</v>
      </c>
      <c r="L8" s="297" t="s">
        <v>924</v>
      </c>
      <c r="M8" s="297" t="s">
        <v>35</v>
      </c>
    </row>
    <row r="9" spans="1:13" ht="241" thickBot="1">
      <c r="A9" s="298" t="s">
        <v>923</v>
      </c>
      <c r="B9" s="298" t="s">
        <v>239</v>
      </c>
      <c r="C9" s="298" t="s">
        <v>922</v>
      </c>
      <c r="D9" s="298" t="s">
        <v>921</v>
      </c>
      <c r="E9" s="298" t="s">
        <v>920</v>
      </c>
      <c r="F9" s="298" t="s">
        <v>194</v>
      </c>
      <c r="G9" s="298" t="s">
        <v>919</v>
      </c>
      <c r="H9" s="298" t="s">
        <v>918</v>
      </c>
      <c r="I9" s="298" t="s">
        <v>917</v>
      </c>
      <c r="J9" s="298" t="s">
        <v>354</v>
      </c>
      <c r="K9" s="322" t="s">
        <v>916</v>
      </c>
      <c r="L9" s="298" t="s">
        <v>915</v>
      </c>
      <c r="M9" s="322" t="s">
        <v>904</v>
      </c>
    </row>
    <row r="10" spans="1:13" ht="241" thickBot="1">
      <c r="A10" s="297" t="s">
        <v>914</v>
      </c>
      <c r="B10" s="297" t="s">
        <v>232</v>
      </c>
      <c r="C10" s="297" t="s">
        <v>913</v>
      </c>
      <c r="D10" s="297" t="s">
        <v>912</v>
      </c>
      <c r="E10" s="297" t="s">
        <v>911</v>
      </c>
      <c r="F10" s="297" t="s">
        <v>910</v>
      </c>
      <c r="G10" s="297" t="s">
        <v>909</v>
      </c>
      <c r="H10" s="297" t="s">
        <v>908</v>
      </c>
      <c r="I10" s="297" t="s">
        <v>907</v>
      </c>
      <c r="J10" s="297" t="s">
        <v>354</v>
      </c>
      <c r="K10" s="91" t="s">
        <v>906</v>
      </c>
      <c r="L10" s="297" t="s">
        <v>905</v>
      </c>
      <c r="M10" s="91" t="s">
        <v>904</v>
      </c>
    </row>
    <row r="11" spans="1:13" ht="145" thickBot="1">
      <c r="A11" s="298" t="s">
        <v>903</v>
      </c>
      <c r="B11" s="298" t="s">
        <v>902</v>
      </c>
      <c r="C11" s="298" t="s">
        <v>393</v>
      </c>
      <c r="D11" s="298" t="s">
        <v>901</v>
      </c>
      <c r="E11" s="298" t="s">
        <v>900</v>
      </c>
      <c r="F11" s="298" t="s">
        <v>899</v>
      </c>
      <c r="G11" s="298" t="s">
        <v>898</v>
      </c>
      <c r="H11" s="298" t="s">
        <v>897</v>
      </c>
      <c r="I11" s="298" t="s">
        <v>230</v>
      </c>
      <c r="J11" s="298" t="s">
        <v>354</v>
      </c>
      <c r="K11" s="322" t="s">
        <v>896</v>
      </c>
      <c r="L11" s="298" t="s">
        <v>895</v>
      </c>
      <c r="M11" s="322" t="s">
        <v>894</v>
      </c>
    </row>
  </sheetData>
  <mergeCells count="1">
    <mergeCell ref="A1:M1"/>
  </mergeCells>
  <hyperlinks>
    <hyperlink ref="M11" r:id="rId1" xr:uid="{00000000-0004-0000-0400-000000000000}"/>
    <hyperlink ref="K11" r:id="rId2" xr:uid="{00000000-0004-0000-0400-000001000000}"/>
    <hyperlink ref="M5" r:id="rId3" xr:uid="{00000000-0004-0000-0400-000002000000}"/>
    <hyperlink ref="K10" r:id="rId4" display="https://acl.gov/sites/default/files/Aging and Disability in America/2017OlderAmericansProfile.pdf" xr:uid="{00000000-0004-0000-0400-000003000000}"/>
    <hyperlink ref="M10" r:id="rId5" xr:uid="{00000000-0004-0000-0400-000004000000}"/>
    <hyperlink ref="K9" r:id="rId6" display="https://www.ageing.ox.ac.uk/files/Future_of_Ageing_Report.pdf" xr:uid="{00000000-0004-0000-0400-000005000000}"/>
    <hyperlink ref="M9" r:id="rId7" xr:uid="{00000000-0004-0000-0400-000006000000}"/>
  </hyperlinks>
  <pageMargins left="0.7" right="0.7" top="0.75" bottom="0.75" header="0.3" footer="0.3"/>
  <pageSetup paperSize="9" orientation="portrait"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F31CE-7089-F549-AF0C-0C465DE3ACBB}">
  <dimension ref="A1:M14"/>
  <sheetViews>
    <sheetView zoomScaleNormal="100" workbookViewId="0">
      <selection activeCell="D3" sqref="D3"/>
    </sheetView>
  </sheetViews>
  <sheetFormatPr baseColWidth="10" defaultColWidth="8.83203125" defaultRowHeight="14"/>
  <cols>
    <col min="1" max="1" width="23.6640625" style="296" customWidth="1"/>
    <col min="2" max="2" width="8.83203125" style="296"/>
    <col min="3" max="3" width="14.33203125" style="296" customWidth="1"/>
    <col min="4" max="4" width="29.6640625" style="296" customWidth="1"/>
    <col min="5" max="5" width="26.5" style="296" customWidth="1"/>
    <col min="6" max="6" width="13.6640625" style="296" customWidth="1"/>
    <col min="7" max="7" width="12" style="296" customWidth="1"/>
    <col min="8" max="8" width="21.5" style="296" customWidth="1"/>
    <col min="9" max="9" width="21.6640625" style="296" customWidth="1"/>
    <col min="10" max="10" width="12.6640625" style="296" customWidth="1"/>
    <col min="11" max="11" width="20.33203125" style="296" customWidth="1"/>
    <col min="12" max="12" width="20.1640625" style="296" customWidth="1"/>
    <col min="13" max="13" width="16.33203125" style="296" customWidth="1"/>
    <col min="14" max="16384" width="8.83203125" style="296"/>
  </cols>
  <sheetData>
    <row r="1" spans="1:13" ht="16" thickBot="1">
      <c r="A1" s="442" t="s">
        <v>1053</v>
      </c>
      <c r="B1" s="443"/>
      <c r="C1" s="443"/>
      <c r="D1" s="443"/>
      <c r="E1" s="443"/>
      <c r="F1" s="443"/>
      <c r="G1" s="443"/>
      <c r="H1" s="443"/>
      <c r="I1" s="443"/>
      <c r="J1" s="443"/>
      <c r="K1" s="443"/>
      <c r="L1" s="443"/>
      <c r="M1" s="444"/>
    </row>
    <row r="2" spans="1:13" ht="22.5" customHeight="1" thickBot="1">
      <c r="A2" s="325" t="s">
        <v>0</v>
      </c>
      <c r="B2" s="326" t="s">
        <v>123</v>
      </c>
      <c r="C2" s="327" t="s">
        <v>208</v>
      </c>
      <c r="D2" s="328" t="s">
        <v>155</v>
      </c>
      <c r="E2" s="329" t="s">
        <v>1</v>
      </c>
      <c r="F2" s="329" t="s">
        <v>142</v>
      </c>
      <c r="G2" s="330" t="s">
        <v>4</v>
      </c>
      <c r="H2" s="331" t="s">
        <v>2</v>
      </c>
      <c r="I2" s="330" t="s">
        <v>3</v>
      </c>
      <c r="J2" s="332" t="s">
        <v>5</v>
      </c>
      <c r="K2" s="333" t="s">
        <v>148</v>
      </c>
      <c r="L2" s="333" t="s">
        <v>278</v>
      </c>
      <c r="M2" s="334" t="s">
        <v>209</v>
      </c>
    </row>
    <row r="3" spans="1:13" ht="145" thickBot="1">
      <c r="A3" s="335" t="s">
        <v>1052</v>
      </c>
      <c r="B3" s="335" t="s">
        <v>232</v>
      </c>
      <c r="C3" s="335" t="s">
        <v>1051</v>
      </c>
      <c r="D3" s="335" t="s">
        <v>1050</v>
      </c>
      <c r="E3" s="335" t="s">
        <v>1049</v>
      </c>
      <c r="F3" s="335" t="s">
        <v>194</v>
      </c>
      <c r="G3" s="335" t="s">
        <v>984</v>
      </c>
      <c r="H3" s="335" t="s">
        <v>1048</v>
      </c>
      <c r="I3" s="335" t="s">
        <v>1047</v>
      </c>
      <c r="J3" s="335" t="s">
        <v>354</v>
      </c>
      <c r="K3" s="127" t="str">
        <f>HYPERLINK("http://www.housingeurope.eu/resource-1000/the-state-of-housing-in-the-eu-2017","The State of Housing in the EU 2017")</f>
        <v>The State of Housing in the EU 2017</v>
      </c>
      <c r="L3" s="335" t="s">
        <v>1046</v>
      </c>
      <c r="M3" s="335" t="s">
        <v>35</v>
      </c>
    </row>
    <row r="4" spans="1:13" ht="193" thickBot="1">
      <c r="A4" s="336" t="s">
        <v>1045</v>
      </c>
      <c r="B4" s="336" t="s">
        <v>364</v>
      </c>
      <c r="C4" s="336" t="s">
        <v>1044</v>
      </c>
      <c r="D4" s="336" t="s">
        <v>1043</v>
      </c>
      <c r="E4" s="336" t="s">
        <v>1042</v>
      </c>
      <c r="F4" s="336" t="s">
        <v>194</v>
      </c>
      <c r="G4" s="336" t="s">
        <v>271</v>
      </c>
      <c r="H4" s="336" t="s">
        <v>1041</v>
      </c>
      <c r="I4" s="336" t="s">
        <v>230</v>
      </c>
      <c r="J4" s="336" t="s">
        <v>354</v>
      </c>
      <c r="K4" s="138" t="str">
        <f>HYPERLINK("http://www.housingeurope.eu/resource-105/the-housing-europe-review-2012","Housing Europe Review 2012")</f>
        <v>Housing Europe Review 2012</v>
      </c>
      <c r="L4" s="336" t="s">
        <v>1040</v>
      </c>
      <c r="M4" s="336" t="s">
        <v>35</v>
      </c>
    </row>
    <row r="5" spans="1:13" ht="145" thickBot="1">
      <c r="A5" s="335" t="s">
        <v>1039</v>
      </c>
      <c r="B5" s="335" t="s">
        <v>239</v>
      </c>
      <c r="C5" s="335" t="s">
        <v>393</v>
      </c>
      <c r="D5" s="335" t="s">
        <v>1038</v>
      </c>
      <c r="E5" s="335" t="s">
        <v>254</v>
      </c>
      <c r="F5" s="335" t="s">
        <v>35</v>
      </c>
      <c r="G5" s="335" t="s">
        <v>250</v>
      </c>
      <c r="H5" s="335" t="s">
        <v>1037</v>
      </c>
      <c r="I5" s="335" t="s">
        <v>230</v>
      </c>
      <c r="J5" s="335" t="s">
        <v>354</v>
      </c>
      <c r="K5" s="127" t="str">
        <f>HYPERLINK("https://ec.europa.eu/eurostat/statistics-explained/index.php/Urban_Europe_%E2%80%94_statistics_on_cities%2C_towns_and_suburbs_%E2%80%94_housing_in_cities","Urban Europe — statistics on cities, towns and suburbs — housing in cities")</f>
        <v>Urban Europe — statistics on cities, towns and suburbs — housing in cities</v>
      </c>
      <c r="L5" s="335" t="s">
        <v>1036</v>
      </c>
      <c r="M5" s="335" t="s">
        <v>35</v>
      </c>
    </row>
    <row r="6" spans="1:13" ht="177" thickBot="1">
      <c r="A6" s="336" t="s">
        <v>1035</v>
      </c>
      <c r="B6" s="336" t="s">
        <v>246</v>
      </c>
      <c r="C6" s="336" t="s">
        <v>1034</v>
      </c>
      <c r="D6" s="336" t="s">
        <v>1033</v>
      </c>
      <c r="E6" s="336" t="s">
        <v>1032</v>
      </c>
      <c r="F6" s="336" t="s">
        <v>194</v>
      </c>
      <c r="G6" s="336" t="s">
        <v>250</v>
      </c>
      <c r="H6" s="336" t="s">
        <v>1031</v>
      </c>
      <c r="I6" s="336" t="s">
        <v>1030</v>
      </c>
      <c r="J6" s="336" t="s">
        <v>354</v>
      </c>
      <c r="K6" s="138" t="str">
        <f>HYPERLINK("https://www.feantsa.org/download/full-report-en1029873431323901915.pdf","Third Review of Housing Exclusion in Europe 2018")</f>
        <v>Third Review of Housing Exclusion in Europe 2018</v>
      </c>
      <c r="L6" s="336" t="s">
        <v>1029</v>
      </c>
      <c r="M6" s="336" t="s">
        <v>35</v>
      </c>
    </row>
    <row r="7" spans="1:13" ht="209" thickBot="1">
      <c r="A7" s="335" t="s">
        <v>1028</v>
      </c>
      <c r="B7" s="335" t="s">
        <v>246</v>
      </c>
      <c r="C7" s="335" t="s">
        <v>1027</v>
      </c>
      <c r="D7" s="335" t="s">
        <v>1026</v>
      </c>
      <c r="E7" s="335" t="s">
        <v>254</v>
      </c>
      <c r="F7" s="335" t="s">
        <v>1009</v>
      </c>
      <c r="G7" s="335" t="s">
        <v>1025</v>
      </c>
      <c r="H7" s="335" t="s">
        <v>1024</v>
      </c>
      <c r="I7" s="335" t="s">
        <v>1023</v>
      </c>
      <c r="J7" s="335" t="s">
        <v>354</v>
      </c>
      <c r="K7" s="127" t="str">
        <f>HYPERLINK("https://www.feantsaresearch.org/public/user/Observatory/Feantsa-Studies_08_v02[1].pdf","Homelessness Services in Europe")</f>
        <v>Homelessness Services in Europe</v>
      </c>
      <c r="L7" s="335" t="s">
        <v>1022</v>
      </c>
      <c r="M7" s="335" t="s">
        <v>35</v>
      </c>
    </row>
    <row r="8" spans="1:13" ht="225" thickBot="1">
      <c r="A8" s="336" t="s">
        <v>1021</v>
      </c>
      <c r="B8" s="336" t="s">
        <v>239</v>
      </c>
      <c r="C8" s="336" t="s">
        <v>406</v>
      </c>
      <c r="D8" s="336" t="s">
        <v>1020</v>
      </c>
      <c r="E8" s="336" t="s">
        <v>1019</v>
      </c>
      <c r="F8" s="336" t="s">
        <v>194</v>
      </c>
      <c r="G8" s="336" t="s">
        <v>984</v>
      </c>
      <c r="H8" s="336" t="s">
        <v>1018</v>
      </c>
      <c r="I8" s="336" t="s">
        <v>230</v>
      </c>
      <c r="J8" s="336" t="s">
        <v>354</v>
      </c>
      <c r="K8" s="138" t="str">
        <f>HYPERLINK("http://www.iut.nu/wp-content/uploads/2017/07/Inadequate-Housing-in-Europe-Costs-and-Consequences.pdf","Inadequate housing in Europe: Costs and consequences")</f>
        <v>Inadequate housing in Europe: Costs and consequences</v>
      </c>
      <c r="L8" s="336" t="s">
        <v>1017</v>
      </c>
      <c r="M8" s="336" t="s">
        <v>35</v>
      </c>
    </row>
    <row r="9" spans="1:13" ht="257" thickBot="1">
      <c r="A9" s="335" t="s">
        <v>1016</v>
      </c>
      <c r="B9" s="335">
        <v>2019</v>
      </c>
      <c r="C9" s="335" t="s">
        <v>393</v>
      </c>
      <c r="D9" s="335" t="s">
        <v>1015</v>
      </c>
      <c r="E9" s="335" t="s">
        <v>254</v>
      </c>
      <c r="F9" s="335" t="s">
        <v>35</v>
      </c>
      <c r="G9" s="335" t="s">
        <v>250</v>
      </c>
      <c r="H9" s="335" t="s">
        <v>1014</v>
      </c>
      <c r="I9" s="335" t="s">
        <v>230</v>
      </c>
      <c r="J9" s="335" t="s">
        <v>354</v>
      </c>
      <c r="K9" s="127" t="str">
        <f>HYPERLINK("https://ec.europa.eu/eurostat/statistics-explained/pdfscache/67027.pdf","Living conditions in Europe - housing quality")</f>
        <v>Living conditions in Europe - housing quality</v>
      </c>
      <c r="L9" s="335" t="s">
        <v>1013</v>
      </c>
      <c r="M9" s="127" t="str">
        <f>HYPERLINK("https://ec.europa.eu/eurostat/statistics-explained/index.php?title=Living_conditions_in_Europe_-_housing_quality","Database")</f>
        <v>Database</v>
      </c>
    </row>
    <row r="10" spans="1:13" ht="177" thickBot="1">
      <c r="A10" s="336" t="s">
        <v>1012</v>
      </c>
      <c r="B10" s="336" t="s">
        <v>232</v>
      </c>
      <c r="C10" s="336" t="s">
        <v>1011</v>
      </c>
      <c r="D10" s="336" t="s">
        <v>1010</v>
      </c>
      <c r="E10" s="336" t="s">
        <v>254</v>
      </c>
      <c r="F10" s="336" t="s">
        <v>1009</v>
      </c>
      <c r="G10" s="336" t="s">
        <v>1008</v>
      </c>
      <c r="H10" s="336" t="s">
        <v>1007</v>
      </c>
      <c r="I10" s="336" t="s">
        <v>1006</v>
      </c>
      <c r="J10" s="336" t="s">
        <v>354</v>
      </c>
      <c r="K10" s="138" t="str">
        <f>HYPERLINK("http://censorba.org/wp-content/uploads/2018/11/HGF_Report_Brussels_may2017-1.pdf","Report on youth living conditions and housing")</f>
        <v>Report on youth living conditions and housing</v>
      </c>
      <c r="L10" s="336" t="s">
        <v>1005</v>
      </c>
      <c r="M10" s="336" t="s">
        <v>35</v>
      </c>
    </row>
    <row r="11" spans="1:13" ht="209" thickBot="1">
      <c r="A11" s="335" t="s">
        <v>1004</v>
      </c>
      <c r="B11" s="335" t="s">
        <v>275</v>
      </c>
      <c r="C11" s="335" t="s">
        <v>1003</v>
      </c>
      <c r="D11" s="335" t="s">
        <v>1002</v>
      </c>
      <c r="E11" s="335" t="s">
        <v>1001</v>
      </c>
      <c r="F11" s="335" t="s">
        <v>35</v>
      </c>
      <c r="G11" s="335" t="s">
        <v>705</v>
      </c>
      <c r="H11" s="335" t="s">
        <v>1000</v>
      </c>
      <c r="I11" s="335" t="s">
        <v>35</v>
      </c>
      <c r="J11" s="335" t="s">
        <v>371</v>
      </c>
      <c r="K11" s="127" t="str">
        <f>HYPERLINK("https://fra.europa.eu/sites/default/files/fra_uploads/591-RAXEN-Roma%20Housing-Romania_en.pdf","Thematic Study: Housing Conditions of Roma and
Travellers in Romania")</f>
        <v>Thematic Study: Housing Conditions of Roma and
Travellers in Romania</v>
      </c>
      <c r="L11" s="335" t="s">
        <v>999</v>
      </c>
      <c r="M11" s="127" t="s">
        <v>998</v>
      </c>
    </row>
    <row r="12" spans="1:13" ht="97" thickBot="1">
      <c r="A12" s="336" t="s">
        <v>997</v>
      </c>
      <c r="B12" s="336" t="s">
        <v>246</v>
      </c>
      <c r="C12" s="336" t="s">
        <v>996</v>
      </c>
      <c r="D12" s="336" t="s">
        <v>995</v>
      </c>
      <c r="E12" s="336" t="s">
        <v>994</v>
      </c>
      <c r="F12" s="336" t="s">
        <v>993</v>
      </c>
      <c r="G12" s="336" t="s">
        <v>367</v>
      </c>
      <c r="H12" s="336" t="s">
        <v>992</v>
      </c>
      <c r="I12" s="336" t="s">
        <v>991</v>
      </c>
      <c r="J12" s="336" t="s">
        <v>354</v>
      </c>
      <c r="K12" s="138" t="s">
        <v>990</v>
      </c>
      <c r="L12" s="336" t="s">
        <v>989</v>
      </c>
      <c r="M12" s="336" t="s">
        <v>35</v>
      </c>
    </row>
    <row r="13" spans="1:13" ht="193" thickBot="1">
      <c r="A13" s="335" t="s">
        <v>988</v>
      </c>
      <c r="B13" s="335" t="s">
        <v>987</v>
      </c>
      <c r="C13" s="335" t="s">
        <v>406</v>
      </c>
      <c r="D13" s="335" t="s">
        <v>986</v>
      </c>
      <c r="E13" s="335" t="s">
        <v>254</v>
      </c>
      <c r="F13" s="335" t="s">
        <v>985</v>
      </c>
      <c r="G13" s="335" t="s">
        <v>984</v>
      </c>
      <c r="H13" s="335" t="s">
        <v>983</v>
      </c>
      <c r="I13" s="335" t="s">
        <v>982</v>
      </c>
      <c r="J13" s="335" t="s">
        <v>354</v>
      </c>
      <c r="K13" s="127" t="s">
        <v>981</v>
      </c>
      <c r="L13" s="335" t="s">
        <v>980</v>
      </c>
      <c r="M13" s="127" t="s">
        <v>979</v>
      </c>
    </row>
    <row r="14" spans="1:13" ht="81" thickBot="1">
      <c r="A14" s="336" t="s">
        <v>978</v>
      </c>
      <c r="B14" s="336" t="s">
        <v>977</v>
      </c>
      <c r="C14" s="336" t="s">
        <v>976</v>
      </c>
      <c r="D14" s="336" t="s">
        <v>975</v>
      </c>
      <c r="E14" s="336" t="s">
        <v>974</v>
      </c>
      <c r="F14" s="336" t="s">
        <v>973</v>
      </c>
      <c r="G14" s="336" t="s">
        <v>972</v>
      </c>
      <c r="H14" s="336" t="s">
        <v>971</v>
      </c>
      <c r="I14" s="336" t="s">
        <v>970</v>
      </c>
      <c r="J14" s="336" t="s">
        <v>354</v>
      </c>
      <c r="K14" s="138" t="s">
        <v>969</v>
      </c>
      <c r="L14" s="336" t="s">
        <v>968</v>
      </c>
      <c r="M14" s="138" t="s">
        <v>967</v>
      </c>
    </row>
  </sheetData>
  <mergeCells count="1">
    <mergeCell ref="A1:M1"/>
  </mergeCells>
  <hyperlinks>
    <hyperlink ref="K13" r:id="rId1" display="https://www.eurofound.europa.eu/sites/default/files/ef_publication/field_ef_document/ef1733en.pdf" xr:uid="{00000000-0004-0000-0500-000000000000}"/>
    <hyperlink ref="M13" r:id="rId2" xr:uid="{00000000-0004-0000-0500-000001000000}"/>
    <hyperlink ref="M11" r:id="rId3" xr:uid="{00000000-0004-0000-0500-000002000000}"/>
    <hyperlink ref="K12" r:id="rId4" location="fn[]=1400&amp;fn[]=2900&amp;fn[]=6000&amp;fn[]=9900&amp;fn[]=13500" xr:uid="{00000000-0004-0000-0500-000003000000}"/>
    <hyperlink ref="K14" r:id="rId5" xr:uid="{00000000-0004-0000-0500-000004000000}"/>
    <hyperlink ref="M14" r:id="rId6" xr:uid="{00000000-0004-0000-0500-000005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8"/>
  <sheetViews>
    <sheetView zoomScale="90" zoomScaleNormal="90" workbookViewId="0">
      <selection activeCell="H3" sqref="H3"/>
    </sheetView>
  </sheetViews>
  <sheetFormatPr baseColWidth="10" defaultColWidth="8.83203125" defaultRowHeight="14"/>
  <cols>
    <col min="1" max="1" width="21.6640625" style="59" customWidth="1"/>
    <col min="2" max="2" width="11.6640625" style="55" customWidth="1"/>
    <col min="3" max="3" width="15.1640625" style="55" customWidth="1"/>
    <col min="4" max="4" width="26.6640625" style="55" customWidth="1"/>
    <col min="5" max="5" width="31.6640625" style="55" customWidth="1"/>
    <col min="6" max="6" width="13.1640625" style="55" customWidth="1"/>
    <col min="7" max="7" width="11.6640625" style="55" customWidth="1"/>
    <col min="8" max="8" width="30.1640625" style="55" customWidth="1"/>
    <col min="9" max="9" width="18.6640625" style="55" customWidth="1"/>
    <col min="10" max="10" width="10.83203125" style="55" customWidth="1"/>
    <col min="11" max="11" width="19.33203125" style="55" customWidth="1"/>
    <col min="12" max="12" width="21.5" style="55" customWidth="1"/>
    <col min="13" max="13" width="14.6640625" style="55" customWidth="1"/>
    <col min="14" max="16384" width="8.83203125" style="55"/>
  </cols>
  <sheetData>
    <row r="1" spans="1:13" s="54" customFormat="1" ht="16" thickBot="1">
      <c r="A1" s="445" t="s">
        <v>526</v>
      </c>
      <c r="B1" s="446"/>
      <c r="C1" s="446"/>
      <c r="D1" s="446"/>
      <c r="E1" s="446"/>
      <c r="F1" s="446"/>
      <c r="G1" s="446"/>
      <c r="H1" s="446"/>
      <c r="I1" s="446"/>
      <c r="J1" s="446"/>
      <c r="K1" s="446"/>
      <c r="L1" s="446"/>
      <c r="M1" s="447"/>
    </row>
    <row r="2" spans="1:13" ht="21" customHeight="1" thickBot="1">
      <c r="A2" s="61" t="s">
        <v>0</v>
      </c>
      <c r="B2" s="62" t="s">
        <v>123</v>
      </c>
      <c r="C2" s="63" t="s">
        <v>208</v>
      </c>
      <c r="D2" s="64" t="s">
        <v>155</v>
      </c>
      <c r="E2" s="65" t="s">
        <v>1</v>
      </c>
      <c r="F2" s="62" t="s">
        <v>142</v>
      </c>
      <c r="G2" s="63" t="s">
        <v>4</v>
      </c>
      <c r="H2" s="65" t="s">
        <v>2</v>
      </c>
      <c r="I2" s="63" t="s">
        <v>3</v>
      </c>
      <c r="J2" s="63" t="s">
        <v>5</v>
      </c>
      <c r="K2" s="66" t="s">
        <v>148</v>
      </c>
      <c r="L2" s="66" t="s">
        <v>278</v>
      </c>
      <c r="M2" s="67" t="s">
        <v>209</v>
      </c>
    </row>
    <row r="3" spans="1:13" s="60" customFormat="1" ht="113" thickBot="1">
      <c r="A3" s="71" t="s">
        <v>372</v>
      </c>
      <c r="B3" s="73" t="s">
        <v>373</v>
      </c>
      <c r="C3" s="73" t="s">
        <v>374</v>
      </c>
      <c r="D3" s="72" t="s">
        <v>375</v>
      </c>
      <c r="E3" s="74" t="s">
        <v>376</v>
      </c>
      <c r="F3" s="76" t="s">
        <v>194</v>
      </c>
      <c r="G3" s="75" t="s">
        <v>377</v>
      </c>
      <c r="H3" s="74" t="s">
        <v>510</v>
      </c>
      <c r="I3" s="73" t="s">
        <v>378</v>
      </c>
      <c r="J3" s="68" t="s">
        <v>354</v>
      </c>
      <c r="K3" s="77" t="str">
        <f>HYPERLINK("http://reporting.unhcr.org/sites/default/files/gr2018/pdf/GR2018_English_Full_lowres.pdf","Global Report 2018 by UNHCR")</f>
        <v>Global Report 2018 by UNHCR</v>
      </c>
      <c r="L3" s="73" t="s">
        <v>379</v>
      </c>
      <c r="M3" s="78" t="s">
        <v>35</v>
      </c>
    </row>
    <row r="4" spans="1:13" ht="145" thickBot="1">
      <c r="A4" s="88" t="s">
        <v>380</v>
      </c>
      <c r="B4" s="79" t="s">
        <v>373</v>
      </c>
      <c r="C4" s="58" t="s">
        <v>374</v>
      </c>
      <c r="D4" s="79" t="s">
        <v>381</v>
      </c>
      <c r="E4" s="58" t="s">
        <v>382</v>
      </c>
      <c r="F4" s="79" t="s">
        <v>194</v>
      </c>
      <c r="G4" s="85" t="s">
        <v>383</v>
      </c>
      <c r="H4" s="79" t="s">
        <v>384</v>
      </c>
      <c r="I4" s="58" t="s">
        <v>385</v>
      </c>
      <c r="J4" s="79" t="s">
        <v>354</v>
      </c>
      <c r="K4" s="83" t="str">
        <f>HYPERLINK("http://reporting.unhcr.org/sites/default/files/gr2018/pdf/06_Europe.pdf","Regional summary of Europe by UNHCR")</f>
        <v>Regional summary of Europe by UNHCR</v>
      </c>
      <c r="L4" s="79" t="s">
        <v>499</v>
      </c>
      <c r="M4" s="81" t="s">
        <v>35</v>
      </c>
    </row>
    <row r="5" spans="1:13" ht="193" thickBot="1">
      <c r="A5" s="76" t="s">
        <v>386</v>
      </c>
      <c r="B5" s="69" t="s">
        <v>373</v>
      </c>
      <c r="C5" s="73" t="s">
        <v>374</v>
      </c>
      <c r="D5" s="56" t="s">
        <v>387</v>
      </c>
      <c r="E5" s="87" t="s">
        <v>388</v>
      </c>
      <c r="F5" s="57" t="s">
        <v>194</v>
      </c>
      <c r="G5" s="86" t="s">
        <v>389</v>
      </c>
      <c r="H5" s="57" t="s">
        <v>500</v>
      </c>
      <c r="I5" s="73" t="s">
        <v>390</v>
      </c>
      <c r="J5" s="69" t="s">
        <v>354</v>
      </c>
      <c r="K5" s="84" t="str">
        <f>HYPERLINK("https://www.unhcr.org/5d08d7ee7.pdf","Global Trends in Forced Displacement 2018")</f>
        <v>Global Trends in Forced Displacement 2018</v>
      </c>
      <c r="L5" s="69" t="s">
        <v>391</v>
      </c>
      <c r="M5" s="82" t="s">
        <v>35</v>
      </c>
    </row>
    <row r="6" spans="1:13" s="60" customFormat="1" ht="113" thickBot="1">
      <c r="A6" s="79" t="s">
        <v>501</v>
      </c>
      <c r="B6" s="89" t="s">
        <v>392</v>
      </c>
      <c r="C6" s="79" t="s">
        <v>393</v>
      </c>
      <c r="D6" s="89" t="s">
        <v>394</v>
      </c>
      <c r="E6" s="79" t="s">
        <v>395</v>
      </c>
      <c r="F6" s="89" t="s">
        <v>194</v>
      </c>
      <c r="G6" s="90" t="s">
        <v>396</v>
      </c>
      <c r="H6" s="89" t="s">
        <v>397</v>
      </c>
      <c r="I6" s="79" t="s">
        <v>398</v>
      </c>
      <c r="J6" s="89" t="s">
        <v>354</v>
      </c>
      <c r="K6" s="91" t="str">
        <f>HYPERLINK("https://ec.europa.eu/eurostat/statistics-explained/index.php/Asylum_quarterly_report","Asuylum quarterly report")</f>
        <v>Asuylum quarterly report</v>
      </c>
      <c r="L6" s="89" t="s">
        <v>399</v>
      </c>
      <c r="M6" s="92" t="str">
        <f>HYPERLINK("https://ec.europa.eu/eurostat/web/asylum-and-managed-migration/data/database","Database")</f>
        <v>Database</v>
      </c>
    </row>
    <row r="7" spans="1:13" ht="225" thickBot="1">
      <c r="A7" s="76" t="s">
        <v>400</v>
      </c>
      <c r="B7" s="93" t="s">
        <v>401</v>
      </c>
      <c r="C7" s="73" t="s">
        <v>402</v>
      </c>
      <c r="D7" s="93" t="s">
        <v>403</v>
      </c>
      <c r="E7" s="76" t="s">
        <v>376</v>
      </c>
      <c r="F7" s="94" t="s">
        <v>194</v>
      </c>
      <c r="G7" s="86" t="s">
        <v>502</v>
      </c>
      <c r="H7" s="94" t="s">
        <v>404</v>
      </c>
      <c r="I7" s="73" t="s">
        <v>230</v>
      </c>
      <c r="J7" s="93" t="s">
        <v>354</v>
      </c>
      <c r="K7" s="84" t="s">
        <v>400</v>
      </c>
      <c r="L7" s="93" t="s">
        <v>503</v>
      </c>
      <c r="M7" s="82" t="s">
        <v>35</v>
      </c>
    </row>
    <row r="8" spans="1:13" ht="193" thickBot="1">
      <c r="A8" s="79" t="s">
        <v>405</v>
      </c>
      <c r="B8" s="95" t="s">
        <v>302</v>
      </c>
      <c r="C8" s="79" t="s">
        <v>406</v>
      </c>
      <c r="D8" s="95" t="s">
        <v>407</v>
      </c>
      <c r="E8" s="79" t="s">
        <v>408</v>
      </c>
      <c r="F8" s="95" t="s">
        <v>409</v>
      </c>
      <c r="G8" s="90" t="s">
        <v>410</v>
      </c>
      <c r="H8" s="95" t="s">
        <v>411</v>
      </c>
      <c r="I8" s="79" t="s">
        <v>412</v>
      </c>
      <c r="J8" s="95" t="s">
        <v>354</v>
      </c>
      <c r="K8" s="91" t="str">
        <f>HYPERLINK("https://publications.europa.eu/en/publication-detail/-/publication/e7ba24b3-9950-11e9-9d01-01aa75ed71a1/language-en?WT.mc_id=Selectedpublications&amp;WT.ria_c=677&amp;WT.ria_f=664&amp;WT.ria_ev=search","Role of public services in integrating refugees and asylum seekers")</f>
        <v>Role of public services in integrating refugees and asylum seekers</v>
      </c>
      <c r="L8" s="95" t="s">
        <v>413</v>
      </c>
      <c r="M8" s="96" t="s">
        <v>35</v>
      </c>
    </row>
    <row r="9" spans="1:13" ht="193" thickBot="1">
      <c r="A9" s="76" t="s">
        <v>414</v>
      </c>
      <c r="B9" s="97" t="s">
        <v>232</v>
      </c>
      <c r="C9" s="73" t="s">
        <v>281</v>
      </c>
      <c r="D9" s="98" t="s">
        <v>415</v>
      </c>
      <c r="E9" s="76" t="s">
        <v>283</v>
      </c>
      <c r="F9" s="98" t="s">
        <v>254</v>
      </c>
      <c r="G9" s="86" t="s">
        <v>416</v>
      </c>
      <c r="H9" s="98" t="s">
        <v>504</v>
      </c>
      <c r="I9" s="73" t="s">
        <v>315</v>
      </c>
      <c r="J9" s="97" t="s">
        <v>354</v>
      </c>
      <c r="K9" s="84" t="str">
        <f>HYPERLINK("https://publications.europa.eu/en/publication-detail/-/publication/a0fb4f0c-97c0-11e9-9369-01aa75ed71a1/language-en?WT.mc_id=Selectedpublications&amp;WT.ria_c=677&amp;WT.ria_f=664&amp;WT.ria_ev=search","Integration of Immigrants in the European Union. Special Eurobarometer 469")</f>
        <v>Integration of Immigrants in the European Union. Special Eurobarometer 469</v>
      </c>
      <c r="L9" s="98" t="s">
        <v>417</v>
      </c>
      <c r="M9" s="82" t="s">
        <v>35</v>
      </c>
    </row>
    <row r="10" spans="1:13" ht="257" thickBot="1">
      <c r="A10" s="79" t="s">
        <v>418</v>
      </c>
      <c r="B10" s="79" t="s">
        <v>373</v>
      </c>
      <c r="C10" s="79" t="s">
        <v>419</v>
      </c>
      <c r="D10" s="79" t="s">
        <v>420</v>
      </c>
      <c r="E10" s="99" t="s">
        <v>376</v>
      </c>
      <c r="F10" s="79" t="s">
        <v>194</v>
      </c>
      <c r="G10" s="90" t="s">
        <v>421</v>
      </c>
      <c r="H10" s="79" t="s">
        <v>422</v>
      </c>
      <c r="I10" s="79" t="s">
        <v>423</v>
      </c>
      <c r="J10" s="79" t="s">
        <v>354</v>
      </c>
      <c r="K10" s="91" t="str">
        <f>HYPERLINK("https://easo.europa.eu/sites/default/files/easo-annual-report-2018-web.pdf","Annual report on the situation of asylum in the EU in 2018")</f>
        <v>Annual report on the situation of asylum in the EU in 2018</v>
      </c>
      <c r="L10" s="79" t="s">
        <v>424</v>
      </c>
      <c r="M10" s="96" t="s">
        <v>35</v>
      </c>
    </row>
    <row r="11" spans="1:13" ht="257" thickBot="1">
      <c r="A11" s="76" t="s">
        <v>425</v>
      </c>
      <c r="B11" s="73" t="s">
        <v>426</v>
      </c>
      <c r="C11" s="69" t="s">
        <v>427</v>
      </c>
      <c r="D11" s="76" t="s">
        <v>428</v>
      </c>
      <c r="E11" s="57" t="s">
        <v>429</v>
      </c>
      <c r="F11" s="76" t="s">
        <v>194</v>
      </c>
      <c r="G11" s="70" t="s">
        <v>430</v>
      </c>
      <c r="H11" s="76" t="s">
        <v>431</v>
      </c>
      <c r="I11" s="73" t="s">
        <v>432</v>
      </c>
      <c r="J11" s="73" t="s">
        <v>354</v>
      </c>
      <c r="K11" s="84" t="str">
        <f>HYPERLINK("https://publications.europa.eu/en/publication-detail/-/publication/dcd33d48-0fd6-11e9-81b4-01aa75ed71a1/language-en?WT.mc_id=Selectedpublications&amp;WT.ria_c=677&amp;WT.ria_f=664&amp;WT.ria_ev=search","Settling in 2018. Indicators of immigrant integration")</f>
        <v>Settling in 2018. Indicators of immigrant integration</v>
      </c>
      <c r="L11" s="73" t="s">
        <v>433</v>
      </c>
      <c r="M11" s="100" t="str">
        <f>HYPERLINK("https://www1.compareyourcountry.org/indicators-of-immigrant-integration","Data per country")</f>
        <v>Data per country</v>
      </c>
    </row>
    <row r="12" spans="1:13" ht="129" thickBot="1">
      <c r="A12" s="79" t="s">
        <v>434</v>
      </c>
      <c r="B12" s="80" t="s">
        <v>373</v>
      </c>
      <c r="C12" s="79" t="s">
        <v>393</v>
      </c>
      <c r="D12" s="80" t="s">
        <v>435</v>
      </c>
      <c r="E12" s="79" t="s">
        <v>436</v>
      </c>
      <c r="F12" s="80" t="s">
        <v>254</v>
      </c>
      <c r="G12" s="90" t="s">
        <v>421</v>
      </c>
      <c r="H12" s="80" t="s">
        <v>437</v>
      </c>
      <c r="I12" s="79" t="s">
        <v>438</v>
      </c>
      <c r="J12" s="80" t="s">
        <v>354</v>
      </c>
      <c r="K12" s="91" t="str">
        <f>HYPERLINK("https://publications.europa.eu/en/publication-detail/-/publication/b5fe08ce-eed1-11e8-b690-01aa75ed71a1/language-en?WT.mc_id=Selectedpublications&amp;WT.ria_c=677&amp;WT.ria_f=664&amp;WT.ria_ev=search","Migrant integration statistics")</f>
        <v>Migrant integration statistics</v>
      </c>
      <c r="L12" s="80" t="s">
        <v>505</v>
      </c>
      <c r="M12" s="101" t="s">
        <v>35</v>
      </c>
    </row>
    <row r="13" spans="1:13" ht="241" thickBot="1">
      <c r="A13" s="103" t="s">
        <v>439</v>
      </c>
      <c r="B13" s="102" t="s">
        <v>232</v>
      </c>
      <c r="C13" s="103" t="s">
        <v>440</v>
      </c>
      <c r="D13" s="102" t="s">
        <v>441</v>
      </c>
      <c r="E13" s="103" t="s">
        <v>442</v>
      </c>
      <c r="F13" s="102" t="s">
        <v>194</v>
      </c>
      <c r="G13" s="104" t="s">
        <v>443</v>
      </c>
      <c r="H13" s="102" t="s">
        <v>444</v>
      </c>
      <c r="I13" s="103" t="s">
        <v>445</v>
      </c>
      <c r="J13" s="102" t="s">
        <v>354</v>
      </c>
      <c r="K13" s="84" t="str">
        <f>HYPERLINK("https://publications.europa.eu/en/publication-detail/-/publication/eebb1cf2-fccb-11e7-b8f5-01aa75ed71a1/language-en?WT.mc_id=Selectedpublications&amp;WT.ria_c=677&amp;WT.ria_f=664&amp;WT.ria_ev=search","Integration of refugees in Greece, Hungary and Italy. Comparative analysis")</f>
        <v>Integration of refugees in Greece, Hungary and Italy. Comparative analysis</v>
      </c>
      <c r="L13" s="102" t="s">
        <v>446</v>
      </c>
      <c r="M13" s="82" t="s">
        <v>35</v>
      </c>
    </row>
    <row r="14" spans="1:13" ht="177" thickBot="1">
      <c r="A14" s="105" t="s">
        <v>447</v>
      </c>
      <c r="B14" s="106" t="s">
        <v>302</v>
      </c>
      <c r="C14" s="107" t="s">
        <v>448</v>
      </c>
      <c r="D14" s="108" t="s">
        <v>449</v>
      </c>
      <c r="E14" s="107" t="s">
        <v>450</v>
      </c>
      <c r="F14" s="108" t="s">
        <v>194</v>
      </c>
      <c r="G14" s="109" t="s">
        <v>451</v>
      </c>
      <c r="H14" s="108" t="s">
        <v>452</v>
      </c>
      <c r="I14" s="110" t="s">
        <v>506</v>
      </c>
      <c r="J14" s="106" t="s">
        <v>354</v>
      </c>
      <c r="K14" s="91" t="str">
        <f>HYPERLINK("http://www.asylumineurope.org/sites/default/files/shadow-reports/aida_housing_out_of_reach.pdf","Housing out of reach? The reception of refugees and asylum seekers in Europe")</f>
        <v>Housing out of reach? The reception of refugees and asylum seekers in Europe</v>
      </c>
      <c r="L14" s="106" t="s">
        <v>453</v>
      </c>
      <c r="M14" s="101" t="s">
        <v>35</v>
      </c>
    </row>
    <row r="15" spans="1:13" ht="81" thickBot="1">
      <c r="A15" s="112" t="s">
        <v>454</v>
      </c>
      <c r="B15" s="102" t="s">
        <v>455</v>
      </c>
      <c r="C15" s="103" t="s">
        <v>507</v>
      </c>
      <c r="D15" s="102" t="s">
        <v>456</v>
      </c>
      <c r="E15" s="103" t="s">
        <v>483</v>
      </c>
      <c r="F15" s="102" t="s">
        <v>194</v>
      </c>
      <c r="G15" s="104" t="s">
        <v>315</v>
      </c>
      <c r="H15" s="102" t="s">
        <v>457</v>
      </c>
      <c r="I15" s="103" t="s">
        <v>508</v>
      </c>
      <c r="J15" s="102" t="s">
        <v>354</v>
      </c>
      <c r="K15" s="84" t="str">
        <f>HYPERLINK("https://data.worldbank.org/indicator/sm.pop.refg","Refugee population by country or territory of asylum")</f>
        <v>Refugee population by country or territory of asylum</v>
      </c>
      <c r="L15" s="102" t="s">
        <v>458</v>
      </c>
      <c r="M15" s="111" t="str">
        <f>HYPERLINK("https://databank.worldbank.org/reports.aspx?source=2&amp;series=SM.POP.REFG&amp;country=","Database")</f>
        <v>Database</v>
      </c>
    </row>
    <row r="16" spans="1:13" ht="209" thickBot="1">
      <c r="A16" s="107" t="s">
        <v>459</v>
      </c>
      <c r="B16" s="106" t="s">
        <v>232</v>
      </c>
      <c r="C16" s="110" t="s">
        <v>460</v>
      </c>
      <c r="D16" s="108" t="s">
        <v>461</v>
      </c>
      <c r="E16" s="107" t="s">
        <v>509</v>
      </c>
      <c r="F16" s="108" t="s">
        <v>194</v>
      </c>
      <c r="G16" s="113" t="s">
        <v>421</v>
      </c>
      <c r="H16" s="108" t="s">
        <v>462</v>
      </c>
      <c r="I16" s="110" t="s">
        <v>463</v>
      </c>
      <c r="J16" s="106" t="s">
        <v>354</v>
      </c>
      <c r="K16" s="91" t="str">
        <f>HYPERLINK("https://ec.europa.eu/home-affairs/sites/homeaffairs/files/00_eu_illegal_employment_synthesis_report_final_en_0.pdf","EMN Synthesis Report on Illegal employment of third-country nationals in the European Union")</f>
        <v>EMN Synthesis Report on Illegal employment of third-country nationals in the European Union</v>
      </c>
      <c r="L16" s="106" t="s">
        <v>464</v>
      </c>
      <c r="M16" s="114" t="s">
        <v>35</v>
      </c>
    </row>
    <row r="17" spans="1:13" ht="129" thickBot="1">
      <c r="A17" s="112" t="s">
        <v>465</v>
      </c>
      <c r="B17" s="117" t="s">
        <v>239</v>
      </c>
      <c r="C17" s="103" t="s">
        <v>466</v>
      </c>
      <c r="D17" s="117" t="s">
        <v>467</v>
      </c>
      <c r="E17" s="103" t="s">
        <v>468</v>
      </c>
      <c r="F17" s="117" t="s">
        <v>469</v>
      </c>
      <c r="G17" s="104" t="s">
        <v>470</v>
      </c>
      <c r="H17" s="117" t="s">
        <v>471</v>
      </c>
      <c r="I17" s="103" t="s">
        <v>315</v>
      </c>
      <c r="J17" s="117" t="s">
        <v>354</v>
      </c>
      <c r="K17" s="84" t="str">
        <f>HYPERLINK("https://www.synigoros.gr/resources/docs/eidikiekthesiepistrofesallodapwn2016en.pdf","RETURN OF THIRD-COUNTRY NATIONALS Special report 2016")</f>
        <v>RETURN OF THIRD-COUNTRY NATIONALS Special report 2016</v>
      </c>
      <c r="L17" s="117" t="s">
        <v>472</v>
      </c>
      <c r="M17" s="115" t="s">
        <v>35</v>
      </c>
    </row>
    <row r="18" spans="1:13" ht="129" thickBot="1">
      <c r="A18" s="116" t="s">
        <v>473</v>
      </c>
      <c r="B18" s="107" t="s">
        <v>246</v>
      </c>
      <c r="C18" s="118" t="s">
        <v>474</v>
      </c>
      <c r="D18" s="107" t="s">
        <v>475</v>
      </c>
      <c r="E18" s="118" t="s">
        <v>476</v>
      </c>
      <c r="F18" s="107" t="s">
        <v>477</v>
      </c>
      <c r="G18" s="119" t="s">
        <v>478</v>
      </c>
      <c r="H18" s="107" t="s">
        <v>479</v>
      </c>
      <c r="I18" s="118" t="s">
        <v>480</v>
      </c>
      <c r="J18" s="107" t="s">
        <v>354</v>
      </c>
      <c r="K18" s="120" t="s">
        <v>481</v>
      </c>
      <c r="L18" s="105" t="s">
        <v>482</v>
      </c>
      <c r="M18" s="121" t="s">
        <v>35</v>
      </c>
    </row>
  </sheetData>
  <mergeCells count="1">
    <mergeCell ref="A1:M1"/>
  </mergeCells>
  <hyperlinks>
    <hyperlink ref="K7" r:id="rId1" xr:uid="{00000000-0004-0000-0600-000000000000}"/>
    <hyperlink ref="K18" r:id="rId2" display="http://www.bamf.de/SharedDocs/Anlagen/EN/Publikationen/EMN/Studien/wp82-arbeitsmarktintegration-drittstaatsangehoeriger.pdf?__blob=publicationFile"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3F3D0-A32C-2743-83D9-CEF219141CCC}">
  <dimension ref="A1:M10"/>
  <sheetViews>
    <sheetView topLeftCell="B7" zoomScaleNormal="100" workbookViewId="0">
      <selection activeCell="L4" sqref="L4"/>
    </sheetView>
  </sheetViews>
  <sheetFormatPr baseColWidth="10" defaultColWidth="8.83203125" defaultRowHeight="14"/>
  <cols>
    <col min="1" max="1" width="22.1640625" style="296" customWidth="1"/>
    <col min="2" max="2" width="10.6640625" style="296" customWidth="1"/>
    <col min="3" max="3" width="15.83203125" style="296" customWidth="1"/>
    <col min="4" max="4" width="27.6640625" style="296" customWidth="1"/>
    <col min="5" max="5" width="25.6640625" style="296" customWidth="1"/>
    <col min="6" max="6" width="11.33203125" style="296" customWidth="1"/>
    <col min="7" max="7" width="13" style="296" customWidth="1"/>
    <col min="8" max="8" width="31.33203125" style="296" customWidth="1"/>
    <col min="9" max="9" width="18.83203125" style="296" customWidth="1"/>
    <col min="10" max="10" width="14.1640625" style="296" customWidth="1"/>
    <col min="11" max="11" width="19.6640625" style="296" customWidth="1"/>
    <col min="12" max="12" width="21.1640625" style="296" customWidth="1"/>
    <col min="13" max="13" width="16.1640625" style="296" customWidth="1"/>
    <col min="14" max="16384" width="8.83203125" style="296"/>
  </cols>
  <sheetData>
    <row r="1" spans="1:13" ht="16" thickBot="1">
      <c r="A1" s="448" t="s">
        <v>1119</v>
      </c>
      <c r="B1" s="440"/>
      <c r="C1" s="440"/>
      <c r="D1" s="440"/>
      <c r="E1" s="440"/>
      <c r="F1" s="440"/>
      <c r="G1" s="440"/>
      <c r="H1" s="440"/>
      <c r="I1" s="440"/>
      <c r="J1" s="440"/>
      <c r="K1" s="440"/>
      <c r="L1" s="440"/>
      <c r="M1" s="441"/>
    </row>
    <row r="2" spans="1:13" ht="24.75" customHeight="1" thickBot="1">
      <c r="A2" s="306" t="s">
        <v>0</v>
      </c>
      <c r="B2" s="305" t="s">
        <v>123</v>
      </c>
      <c r="C2" s="302" t="s">
        <v>208</v>
      </c>
      <c r="D2" s="323" t="s">
        <v>155</v>
      </c>
      <c r="E2" s="304" t="s">
        <v>1</v>
      </c>
      <c r="F2" s="304" t="s">
        <v>142</v>
      </c>
      <c r="G2" s="302" t="s">
        <v>4</v>
      </c>
      <c r="H2" s="303" t="s">
        <v>2</v>
      </c>
      <c r="I2" s="302" t="s">
        <v>3</v>
      </c>
      <c r="J2" s="301" t="s">
        <v>5</v>
      </c>
      <c r="K2" s="300" t="s">
        <v>148</v>
      </c>
      <c r="L2" s="337" t="s">
        <v>1118</v>
      </c>
      <c r="M2" s="299" t="s">
        <v>209</v>
      </c>
    </row>
    <row r="3" spans="1:13" ht="129" thickBot="1">
      <c r="A3" s="298" t="s">
        <v>1117</v>
      </c>
      <c r="B3" s="298" t="s">
        <v>246</v>
      </c>
      <c r="C3" s="298" t="s">
        <v>1116</v>
      </c>
      <c r="D3" s="298" t="s">
        <v>1115</v>
      </c>
      <c r="E3" s="298" t="s">
        <v>1114</v>
      </c>
      <c r="F3" s="298" t="s">
        <v>35</v>
      </c>
      <c r="G3" s="298" t="s">
        <v>35</v>
      </c>
      <c r="H3" s="298" t="s">
        <v>1113</v>
      </c>
      <c r="I3" s="298" t="s">
        <v>1112</v>
      </c>
      <c r="J3" s="298" t="s">
        <v>354</v>
      </c>
      <c r="K3" s="338" t="str">
        <f>HYPERLINK("https://publications.iom.int/system/files/pdf/wmr_2018_en.pdf","World Migration Report 2018")</f>
        <v>World Migration Report 2018</v>
      </c>
      <c r="L3" s="298" t="s">
        <v>1111</v>
      </c>
      <c r="M3" s="298" t="s">
        <v>35</v>
      </c>
    </row>
    <row r="4" spans="1:13" ht="177" thickBot="1">
      <c r="A4" s="297" t="s">
        <v>1110</v>
      </c>
      <c r="B4" s="297" t="s">
        <v>246</v>
      </c>
      <c r="C4" s="297" t="s">
        <v>1109</v>
      </c>
      <c r="D4" s="297" t="s">
        <v>1108</v>
      </c>
      <c r="E4" s="297" t="s">
        <v>1107</v>
      </c>
      <c r="F4" s="297" t="s">
        <v>1106</v>
      </c>
      <c r="G4" s="297" t="s">
        <v>1105</v>
      </c>
      <c r="H4" s="297" t="s">
        <v>1104</v>
      </c>
      <c r="I4" s="297" t="s">
        <v>1103</v>
      </c>
      <c r="J4" s="297" t="s">
        <v>354</v>
      </c>
      <c r="K4" s="339" t="str">
        <f>HYPERLINK("https://www.thelancet.com/journals/lancet/article/PIIS0140-6736(18)32558-3/fulltext","Health impacts of parental migration on left-behind children and adolescents: a systematic review and meta-analysis")</f>
        <v>Health impacts of parental migration on left-behind children and adolescents: a systematic review and meta-analysis</v>
      </c>
      <c r="L4" s="297" t="s">
        <v>1102</v>
      </c>
      <c r="M4" s="297" t="s">
        <v>35</v>
      </c>
    </row>
    <row r="5" spans="1:13" ht="225" thickBot="1">
      <c r="A5" s="298" t="s">
        <v>1101</v>
      </c>
      <c r="B5" s="298">
        <v>2010</v>
      </c>
      <c r="C5" s="298" t="s">
        <v>88</v>
      </c>
      <c r="D5" s="298" t="s">
        <v>1100</v>
      </c>
      <c r="E5" s="298" t="s">
        <v>1099</v>
      </c>
      <c r="F5" s="298" t="s">
        <v>1098</v>
      </c>
      <c r="G5" s="298" t="s">
        <v>35</v>
      </c>
      <c r="H5" s="298" t="s">
        <v>1097</v>
      </c>
      <c r="I5" s="298" t="s">
        <v>35</v>
      </c>
      <c r="J5" s="298" t="s">
        <v>354</v>
      </c>
      <c r="K5" s="338" t="str">
        <f>HYPERLINK("https://globalmigrationgroup.org/system/files/uploads/UNCT_Corner/theme5/left-behind/Postscript_Formatted__Migration_Development_and_Children_Left_Behind.pdf","Migration, development and children left behind: a multidimensional perspective")</f>
        <v>Migration, development and children left behind: a multidimensional perspective</v>
      </c>
      <c r="L5" s="298" t="s">
        <v>1096</v>
      </c>
      <c r="M5" s="298" t="s">
        <v>35</v>
      </c>
    </row>
    <row r="6" spans="1:13" ht="145" thickBot="1">
      <c r="A6" s="297" t="s">
        <v>1095</v>
      </c>
      <c r="B6" s="297" t="s">
        <v>267</v>
      </c>
      <c r="C6" s="297" t="s">
        <v>88</v>
      </c>
      <c r="D6" s="297" t="s">
        <v>1094</v>
      </c>
      <c r="E6" s="297" t="s">
        <v>1093</v>
      </c>
      <c r="F6" s="297" t="s">
        <v>1092</v>
      </c>
      <c r="G6" s="297" t="s">
        <v>1091</v>
      </c>
      <c r="H6" s="297" t="s">
        <v>1090</v>
      </c>
      <c r="I6" s="297" t="s">
        <v>1089</v>
      </c>
      <c r="J6" s="297" t="s">
        <v>354</v>
      </c>
      <c r="K6" s="339" t="str">
        <f>HYPERLINK("https://globalmigrationgroup.org/system/files/uploads/UNCT_Corner/theme5/left-behind/Children_and_women_left_behind_in_labor_sending_countries.pdf","Childen and Women in Labour Sending Countries: an appraisal of social risks")</f>
        <v>Childen and Women in Labour Sending Countries: an appraisal of social risks</v>
      </c>
      <c r="L6" s="297" t="s">
        <v>1088</v>
      </c>
      <c r="M6" s="297" t="s">
        <v>35</v>
      </c>
    </row>
    <row r="7" spans="1:13" ht="161" thickBot="1">
      <c r="A7" s="298" t="s">
        <v>1087</v>
      </c>
      <c r="B7" s="298" t="s">
        <v>809</v>
      </c>
      <c r="C7" s="298" t="s">
        <v>1086</v>
      </c>
      <c r="D7" s="298" t="s">
        <v>1085</v>
      </c>
      <c r="E7" s="298" t="s">
        <v>254</v>
      </c>
      <c r="F7" s="298" t="s">
        <v>1084</v>
      </c>
      <c r="G7" s="298" t="s">
        <v>1083</v>
      </c>
      <c r="H7" s="298" t="s">
        <v>1082</v>
      </c>
      <c r="I7" s="298" t="s">
        <v>1081</v>
      </c>
      <c r="J7" s="298" t="s">
        <v>354</v>
      </c>
      <c r="K7" s="338" t="s">
        <v>1080</v>
      </c>
      <c r="L7" s="298" t="s">
        <v>1079</v>
      </c>
      <c r="M7" s="298" t="s">
        <v>35</v>
      </c>
    </row>
    <row r="8" spans="1:13" ht="161" thickBot="1">
      <c r="A8" s="297" t="s">
        <v>1078</v>
      </c>
      <c r="B8" s="297" t="s">
        <v>809</v>
      </c>
      <c r="C8" s="297" t="s">
        <v>1077</v>
      </c>
      <c r="D8" s="297" t="s">
        <v>1076</v>
      </c>
      <c r="E8" s="297" t="s">
        <v>254</v>
      </c>
      <c r="F8" s="297" t="s">
        <v>1075</v>
      </c>
      <c r="G8" s="297" t="s">
        <v>1074</v>
      </c>
      <c r="H8" s="297" t="s">
        <v>1073</v>
      </c>
      <c r="I8" s="297" t="s">
        <v>1072</v>
      </c>
      <c r="J8" s="297" t="s">
        <v>354</v>
      </c>
      <c r="K8" s="339" t="str">
        <f>HYPERLINK("https://childhub.org/fr/child-protection-online-library/soros-foundation-2009-effects-migration-children-left-behind-49-p","The effects of migration: the children left at Home")</f>
        <v>The effects of migration: the children left at Home</v>
      </c>
      <c r="L8" s="297" t="s">
        <v>1071</v>
      </c>
      <c r="M8" s="297" t="s">
        <v>35</v>
      </c>
    </row>
    <row r="9" spans="1:13" ht="129" thickBot="1">
      <c r="A9" s="298" t="s">
        <v>1070</v>
      </c>
      <c r="B9" s="298" t="s">
        <v>567</v>
      </c>
      <c r="C9" s="298" t="s">
        <v>1069</v>
      </c>
      <c r="D9" s="298" t="s">
        <v>1068</v>
      </c>
      <c r="E9" s="298" t="s">
        <v>254</v>
      </c>
      <c r="F9" s="298" t="s">
        <v>1067</v>
      </c>
      <c r="G9" s="298" t="s">
        <v>1057</v>
      </c>
      <c r="H9" s="298" t="s">
        <v>1066</v>
      </c>
      <c r="I9" s="298" t="s">
        <v>1065</v>
      </c>
      <c r="J9" s="298" t="s">
        <v>354</v>
      </c>
      <c r="K9" s="338" t="s">
        <v>1064</v>
      </c>
      <c r="L9" s="298" t="s">
        <v>1063</v>
      </c>
      <c r="M9" s="298" t="s">
        <v>35</v>
      </c>
    </row>
    <row r="10" spans="1:13" ht="257" thickBot="1">
      <c r="A10" s="297" t="s">
        <v>1062</v>
      </c>
      <c r="B10" s="297" t="s">
        <v>261</v>
      </c>
      <c r="C10" s="297" t="s">
        <v>1061</v>
      </c>
      <c r="D10" s="297" t="s">
        <v>1060</v>
      </c>
      <c r="E10" s="297" t="s">
        <v>1059</v>
      </c>
      <c r="F10" s="297" t="s">
        <v>1058</v>
      </c>
      <c r="G10" s="297" t="s">
        <v>1057</v>
      </c>
      <c r="H10" s="297" t="s">
        <v>1056</v>
      </c>
      <c r="I10" s="297" t="s">
        <v>1055</v>
      </c>
      <c r="J10" s="297" t="s">
        <v>354</v>
      </c>
      <c r="K10" s="339" t="str">
        <f>HYPERLINK("https://www.iom.md/sites/default/files/publications/Migration%20and%20development/pdf/11_Specific%20Needs%20of%20Children%20and%20Elderly%20Left%20Behind%20as%20a%20Consequence%20of%20Labour%20Migration_ENG.pdf","Specific Needs of Children and Elderly Left Behind as a Consequence of Migration")</f>
        <v>Specific Needs of Children and Elderly Left Behind as a Consequence of Migration</v>
      </c>
      <c r="L10" s="297" t="s">
        <v>1054</v>
      </c>
      <c r="M10" s="297" t="s">
        <v>35</v>
      </c>
    </row>
  </sheetData>
  <mergeCells count="1">
    <mergeCell ref="A1:M1"/>
  </mergeCells>
  <hyperlinks>
    <hyperlink ref="K7" r:id="rId1" xr:uid="{00000000-0004-0000-0700-000000000000}"/>
    <hyperlink ref="K9" r:id="rId2" xr:uid="{00000000-0004-0000-0700-000001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12"/>
  <sheetViews>
    <sheetView tabSelected="1" topLeftCell="C9" zoomScaleNormal="100" workbookViewId="0">
      <selection activeCell="A2" sqref="A2"/>
    </sheetView>
  </sheetViews>
  <sheetFormatPr baseColWidth="10" defaultColWidth="8.83203125" defaultRowHeight="14"/>
  <cols>
    <col min="1" max="1" width="23.1640625" customWidth="1"/>
    <col min="3" max="3" width="18" customWidth="1"/>
    <col min="4" max="4" width="27.1640625" customWidth="1"/>
    <col min="5" max="5" width="15.6640625" customWidth="1"/>
    <col min="6" max="6" width="14.33203125" customWidth="1"/>
    <col min="7" max="7" width="16" customWidth="1"/>
    <col min="8" max="8" width="32.83203125" customWidth="1"/>
    <col min="9" max="9" width="20.33203125" customWidth="1"/>
    <col min="10" max="10" width="11.83203125" customWidth="1"/>
    <col min="11" max="11" width="22.33203125" customWidth="1"/>
    <col min="12" max="12" width="22.6640625" customWidth="1"/>
    <col min="13" max="13" width="19.6640625" customWidth="1"/>
  </cols>
  <sheetData>
    <row r="1" spans="1:13" ht="16" thickBot="1">
      <c r="A1" s="449" t="s">
        <v>1120</v>
      </c>
      <c r="B1" s="450"/>
      <c r="C1" s="450"/>
      <c r="D1" s="450"/>
      <c r="E1" s="450"/>
      <c r="F1" s="450"/>
      <c r="G1" s="450"/>
      <c r="H1" s="450"/>
      <c r="I1" s="450"/>
      <c r="J1" s="450"/>
      <c r="K1" s="450"/>
      <c r="L1" s="450"/>
      <c r="M1" s="451"/>
    </row>
    <row r="2" spans="1:13" ht="22.5" customHeight="1" thickBot="1">
      <c r="A2" s="7" t="s">
        <v>0</v>
      </c>
      <c r="B2" s="8" t="s">
        <v>123</v>
      </c>
      <c r="C2" s="9" t="s">
        <v>208</v>
      </c>
      <c r="D2" s="10" t="s">
        <v>155</v>
      </c>
      <c r="E2" s="11" t="s">
        <v>1</v>
      </c>
      <c r="F2" s="11" t="s">
        <v>142</v>
      </c>
      <c r="G2" s="9" t="s">
        <v>4</v>
      </c>
      <c r="H2" s="12" t="s">
        <v>2</v>
      </c>
      <c r="I2" s="9" t="s">
        <v>3</v>
      </c>
      <c r="J2" s="13" t="s">
        <v>5</v>
      </c>
      <c r="K2" s="14" t="s">
        <v>148</v>
      </c>
      <c r="L2" s="14" t="s">
        <v>278</v>
      </c>
      <c r="M2" s="15" t="s">
        <v>209</v>
      </c>
    </row>
    <row r="3" spans="1:13" ht="225" thickBot="1">
      <c r="A3" s="16" t="s">
        <v>279</v>
      </c>
      <c r="B3" s="17" t="s">
        <v>280</v>
      </c>
      <c r="C3" s="17" t="s">
        <v>281</v>
      </c>
      <c r="D3" s="18" t="s">
        <v>282</v>
      </c>
      <c r="E3" s="16" t="s">
        <v>283</v>
      </c>
      <c r="F3" s="16" t="s">
        <v>284</v>
      </c>
      <c r="G3" s="19" t="s">
        <v>285</v>
      </c>
      <c r="H3" s="16" t="s">
        <v>511</v>
      </c>
      <c r="I3" s="17" t="s">
        <v>286</v>
      </c>
      <c r="J3" s="20" t="s">
        <v>354</v>
      </c>
      <c r="K3" s="340" t="str">
        <f>HYPERLINK("https://ec.europa.eu/commfrontoffice/publicopinion/archives/ebs/ebs_344_en.pdf","Domestic Violence against Women Report. Special Eurobarometer 344")</f>
        <v>Domestic Violence against Women Report. Special Eurobarometer 344</v>
      </c>
      <c r="L3" s="17" t="s">
        <v>287</v>
      </c>
      <c r="M3" s="21" t="str">
        <f>HYPERLINK("https://ec.europa.eu/commfrontoffice/publicopinion/index.cfm/Survey/getSurveyDetail/instruments/SPECIAL/surveyKy/816","Factsheets in national languages")</f>
        <v>Factsheets in national languages</v>
      </c>
    </row>
    <row r="4" spans="1:13" ht="97" thickBot="1">
      <c r="A4" s="22" t="s">
        <v>288</v>
      </c>
      <c r="B4" s="23" t="s">
        <v>239</v>
      </c>
      <c r="C4" s="23" t="s">
        <v>281</v>
      </c>
      <c r="D4" s="24" t="s">
        <v>289</v>
      </c>
      <c r="E4" s="22" t="s">
        <v>290</v>
      </c>
      <c r="F4" s="22" t="s">
        <v>284</v>
      </c>
      <c r="G4" s="25" t="s">
        <v>291</v>
      </c>
      <c r="H4" s="22" t="s">
        <v>292</v>
      </c>
      <c r="I4" s="23" t="s">
        <v>286</v>
      </c>
      <c r="J4" s="23" t="s">
        <v>354</v>
      </c>
      <c r="K4" s="341" t="str">
        <f>HYPERLINK("http://data.europa.eu/euodp/data/dataset/S2115_85_3_449_ENG","Gender-based violence. Special Eurobarometer 449")</f>
        <v>Gender-based violence. Special Eurobarometer 449</v>
      </c>
      <c r="L4" s="24" t="s">
        <v>293</v>
      </c>
      <c r="M4" s="26" t="str">
        <f>HYPERLINK("https://ec.europa.eu/commfrontoffice/publicopinion/index.cfm/Survey/getSurveyDetail/instruments/SPECIAL/surveyKy/2115","Factsheets in English and national languages")</f>
        <v>Factsheets in English and national languages</v>
      </c>
    </row>
    <row r="5" spans="1:13" ht="177" thickBot="1">
      <c r="A5" s="16" t="s">
        <v>294</v>
      </c>
      <c r="B5" s="17" t="s">
        <v>295</v>
      </c>
      <c r="C5" s="17" t="s">
        <v>296</v>
      </c>
      <c r="D5" s="18" t="s">
        <v>512</v>
      </c>
      <c r="E5" s="16" t="s">
        <v>204</v>
      </c>
      <c r="F5" s="16" t="s">
        <v>35</v>
      </c>
      <c r="G5" s="19" t="s">
        <v>297</v>
      </c>
      <c r="H5" s="16" t="s">
        <v>298</v>
      </c>
      <c r="I5" s="17" t="s">
        <v>299</v>
      </c>
      <c r="J5" s="17" t="s">
        <v>354</v>
      </c>
      <c r="K5" s="340" t="str">
        <f>HYPERLINK("https://fra.europa.eu/sites/default/files/fra_uploads/fra-2014-vaw-survey-main-results-apr14_en.pdf","Violence against women: an EU-wide survey.")</f>
        <v>Violence against women: an EU-wide survey.</v>
      </c>
      <c r="L5" s="27" t="s">
        <v>300</v>
      </c>
      <c r="M5" s="21" t="str">
        <f>HYPERLINK("https://fra.europa.eu/en/data-and-maps/violence-against-women-survey/survey-information","Dataset 2014")</f>
        <v>Dataset 2014</v>
      </c>
    </row>
    <row r="6" spans="1:13" ht="161" thickBot="1">
      <c r="A6" s="28" t="s">
        <v>301</v>
      </c>
      <c r="B6" s="23" t="s">
        <v>302</v>
      </c>
      <c r="C6" s="23" t="s">
        <v>303</v>
      </c>
      <c r="D6" s="29" t="s">
        <v>304</v>
      </c>
      <c r="E6" s="22" t="s">
        <v>305</v>
      </c>
      <c r="F6" s="22" t="s">
        <v>306</v>
      </c>
      <c r="G6" s="30" t="s">
        <v>307</v>
      </c>
      <c r="H6" s="22" t="s">
        <v>308</v>
      </c>
      <c r="I6" s="23" t="s">
        <v>309</v>
      </c>
      <c r="J6" s="23" t="s">
        <v>354</v>
      </c>
      <c r="K6" s="341" t="str">
        <f>HYPERLINK("https://www.osce.org/secretariat/413237?download=true","OSCE-led survey on violence against women: Main report")</f>
        <v>OSCE-led survey on violence against women: Main report</v>
      </c>
      <c r="L6" s="24" t="s">
        <v>310</v>
      </c>
      <c r="M6" s="26" t="str">
        <f>HYPERLINK("https://www.osce.org/projects/survey-on-the-well-being-and-safety-of-women","Individual reports on every country")</f>
        <v>Individual reports on every country</v>
      </c>
    </row>
    <row r="7" spans="1:13" ht="177" thickBot="1">
      <c r="A7" s="31" t="s">
        <v>311</v>
      </c>
      <c r="B7" s="17" t="s">
        <v>246</v>
      </c>
      <c r="C7" s="17" t="s">
        <v>312</v>
      </c>
      <c r="D7" s="18" t="s">
        <v>313</v>
      </c>
      <c r="E7" s="31" t="s">
        <v>314</v>
      </c>
      <c r="F7" s="16"/>
      <c r="G7" s="19" t="s">
        <v>315</v>
      </c>
      <c r="H7" s="16" t="s">
        <v>316</v>
      </c>
      <c r="I7" s="17" t="s">
        <v>317</v>
      </c>
      <c r="J7" s="17" t="s">
        <v>354</v>
      </c>
      <c r="K7" s="340" t="str">
        <f>HYPERLINK("https://www.unodc.org/documents/data-and-analysis/GSH2018/GSH18_Gender-related_killing_of_women_and_girls.pdf","Global study on homicide: Gender-related killing of women and girls")</f>
        <v>Global study on homicide: Gender-related killing of women and girls</v>
      </c>
      <c r="L7" s="27" t="s">
        <v>318</v>
      </c>
      <c r="M7" s="21" t="str">
        <f>HYPERLINK("https://dataunodc.un.org/GSH_app","UN Dataset 1990-2017")</f>
        <v>UN Dataset 1990-2017</v>
      </c>
    </row>
    <row r="8" spans="1:13" ht="161" thickBot="1">
      <c r="A8" s="22" t="s">
        <v>319</v>
      </c>
      <c r="B8" s="23" t="s">
        <v>280</v>
      </c>
      <c r="C8" s="23" t="s">
        <v>320</v>
      </c>
      <c r="D8" s="29" t="s">
        <v>321</v>
      </c>
      <c r="E8" s="22" t="s">
        <v>322</v>
      </c>
      <c r="F8" s="22"/>
      <c r="G8" s="30" t="s">
        <v>315</v>
      </c>
      <c r="H8" s="22" t="s">
        <v>513</v>
      </c>
      <c r="I8" s="23" t="s">
        <v>323</v>
      </c>
      <c r="J8" s="23" t="s">
        <v>354</v>
      </c>
      <c r="K8" s="341" t="str">
        <f>HYPERLINK("https://unstats.un.org/unsd/demographic-social/products/worldswomen/documents/Violence%20against%20women.pdf","The World's Women 2010 - Chapter 6: Violence against women")</f>
        <v>The World's Women 2010 - Chapter 6: Violence against women</v>
      </c>
      <c r="L8" s="24" t="s">
        <v>324</v>
      </c>
      <c r="M8" s="26" t="str">
        <f>HYPERLINK("https://unstats.un.org/unsd/demographic/products/Worldswomen/WW_full%20report_BW.pdf","Data of the whole report")</f>
        <v>Data of the whole report</v>
      </c>
    </row>
    <row r="9" spans="1:13" ht="161" thickBot="1">
      <c r="A9" s="16" t="s">
        <v>325</v>
      </c>
      <c r="B9" s="17" t="s">
        <v>246</v>
      </c>
      <c r="C9" s="17" t="s">
        <v>326</v>
      </c>
      <c r="D9" s="18" t="s">
        <v>514</v>
      </c>
      <c r="E9" s="16" t="s">
        <v>327</v>
      </c>
      <c r="F9" s="16"/>
      <c r="G9" s="19" t="s">
        <v>315</v>
      </c>
      <c r="H9" s="16" t="s">
        <v>328</v>
      </c>
      <c r="I9" s="17" t="s">
        <v>329</v>
      </c>
      <c r="J9" s="17" t="s">
        <v>354</v>
      </c>
      <c r="K9" s="340" t="str">
        <f>HYPERLINK("https://kvinnatillkvinna.org/wp-content/uploads/2018/11/WRWB2018.pdf","Women's Rights in Western Balkans")</f>
        <v>Women's Rights in Western Balkans</v>
      </c>
      <c r="L9" s="32" t="s">
        <v>515</v>
      </c>
      <c r="M9" s="343" t="s">
        <v>35</v>
      </c>
    </row>
    <row r="10" spans="1:13" ht="145" thickBot="1">
      <c r="A10" s="22" t="s">
        <v>330</v>
      </c>
      <c r="B10" s="23" t="s">
        <v>232</v>
      </c>
      <c r="C10" s="23" t="s">
        <v>331</v>
      </c>
      <c r="D10" s="29" t="s">
        <v>332</v>
      </c>
      <c r="E10" s="22" t="s">
        <v>333</v>
      </c>
      <c r="F10" s="22"/>
      <c r="G10" s="30" t="s">
        <v>334</v>
      </c>
      <c r="H10" s="22" t="s">
        <v>335</v>
      </c>
      <c r="I10" s="23" t="s">
        <v>336</v>
      </c>
      <c r="J10" s="23" t="s">
        <v>354</v>
      </c>
      <c r="K10" s="341" t="str">
        <f>HYPERLINK("http://www.instat.gov.al/media/2316/burrat_dhe_grat__ne_shqiperi_2017_libri.pdf","Women and Men in Albania")</f>
        <v>Women and Men in Albania</v>
      </c>
      <c r="L10" s="24" t="s">
        <v>337</v>
      </c>
      <c r="M10" s="342" t="s">
        <v>35</v>
      </c>
    </row>
    <row r="11" spans="1:13" ht="241" thickBot="1">
      <c r="A11" s="16" t="s">
        <v>338</v>
      </c>
      <c r="B11" s="17" t="s">
        <v>339</v>
      </c>
      <c r="C11" s="17" t="s">
        <v>340</v>
      </c>
      <c r="D11" s="18" t="s">
        <v>341</v>
      </c>
      <c r="E11" s="16" t="s">
        <v>342</v>
      </c>
      <c r="F11" s="16"/>
      <c r="G11" s="19" t="s">
        <v>516</v>
      </c>
      <c r="H11" s="16" t="s">
        <v>343</v>
      </c>
      <c r="I11" s="17" t="s">
        <v>344</v>
      </c>
      <c r="J11" s="17" t="s">
        <v>354</v>
      </c>
      <c r="K11" s="340" t="str">
        <f>HYPERLINK("http://www.instat.gov.al/media/6123/publication-violence-against-women.pdf","National population survey: Violence against Women and Girls in Albania")</f>
        <v>National population survey: Violence against Women and Girls in Albania</v>
      </c>
      <c r="L11" s="27" t="s">
        <v>345</v>
      </c>
      <c r="M11" s="21" t="str">
        <f>HYPERLINK("http://evaw-global-database.unwomen.org/en/countries/europe/albania","Dataset")</f>
        <v>Dataset</v>
      </c>
    </row>
    <row r="12" spans="1:13" ht="97" thickBot="1">
      <c r="A12" s="22" t="s">
        <v>346</v>
      </c>
      <c r="B12" s="23" t="s">
        <v>347</v>
      </c>
      <c r="C12" s="23" t="s">
        <v>348</v>
      </c>
      <c r="D12" s="29" t="s">
        <v>349</v>
      </c>
      <c r="E12" s="22" t="s">
        <v>342</v>
      </c>
      <c r="F12" s="22"/>
      <c r="G12" s="30" t="s">
        <v>350</v>
      </c>
      <c r="H12" s="22" t="s">
        <v>351</v>
      </c>
      <c r="I12" s="23" t="s">
        <v>352</v>
      </c>
      <c r="J12" s="23" t="s">
        <v>354</v>
      </c>
      <c r="K12" s="341" t="str">
        <f>HYPERLINK("http://bhas.ba/tematskibilteni/BHAS_Zene_Muskarci_BH.pdf","Women and Men in Bosnia and Herzegovina")</f>
        <v>Women and Men in Bosnia and Herzegovina</v>
      </c>
      <c r="L12" s="24" t="s">
        <v>353</v>
      </c>
      <c r="M12" s="342" t="s">
        <v>35</v>
      </c>
    </row>
  </sheetData>
  <mergeCells count="1">
    <mergeCell ref="A1:M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Roma</vt:lpstr>
      <vt:lpstr>Children at risk</vt:lpstr>
      <vt:lpstr>People with disabiliies</vt:lpstr>
      <vt:lpstr>Very young</vt:lpstr>
      <vt:lpstr>Older persons</vt:lpstr>
      <vt:lpstr>People in precarious housing</vt:lpstr>
      <vt:lpstr>TCNs</vt:lpstr>
      <vt:lpstr>Emigrant household members</vt:lpstr>
      <vt:lpstr>Victims of domestic violence</vt:lpstr>
      <vt:lpstr>LGBTQ+</vt:lpstr>
      <vt:lpstr>Energy-poor persons</vt:lpstr>
      <vt:lpstr>Undeclared workers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Dimitar Markov</cp:lastModifiedBy>
  <dcterms:created xsi:type="dcterms:W3CDTF">2019-08-23T13:05:09Z</dcterms:created>
  <dcterms:modified xsi:type="dcterms:W3CDTF">2019-09-16T08:48:36Z</dcterms:modified>
</cp:coreProperties>
</file>